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1" documentId="13_ncr:1_{E6A09140-7F61-4C67-99F2-D2FDFD6C0085}" xr6:coauthVersionLast="47" xr6:coauthVersionMax="47" xr10:uidLastSave="{992F0551-167D-49C4-8A93-5FDA9CEBC167}"/>
  <bookViews>
    <workbookView xWindow="-110" yWindow="-110" windowWidth="19420" windowHeight="1030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3">เพชรบุรี!$1:$6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77" i="22" l="1"/>
  <c r="J676" i="22"/>
  <c r="J675" i="22"/>
  <c r="J674" i="22"/>
  <c r="J673" i="22"/>
  <c r="J672" i="22"/>
  <c r="N671" i="22"/>
  <c r="L671" i="22"/>
  <c r="O671" i="22" s="1"/>
  <c r="I671" i="22"/>
  <c r="K671" i="22" s="1"/>
  <c r="J670" i="22"/>
  <c r="J669" i="22"/>
  <c r="N668" i="22"/>
  <c r="L668" i="22"/>
  <c r="O668" i="22" s="1"/>
  <c r="J668" i="22"/>
  <c r="I668" i="22"/>
  <c r="K668" i="22" s="1"/>
  <c r="J667" i="22"/>
  <c r="J666" i="22"/>
  <c r="N665" i="22"/>
  <c r="L665" i="22"/>
  <c r="O665" i="22" s="1"/>
  <c r="J665" i="22"/>
  <c r="I665" i="22"/>
  <c r="K665" i="22" s="1"/>
  <c r="J663" i="22"/>
  <c r="I663" i="22"/>
  <c r="K663" i="22" s="1"/>
  <c r="J662" i="22"/>
  <c r="N661" i="22"/>
  <c r="L661" i="22"/>
  <c r="O661" i="22" s="1"/>
  <c r="J661" i="22"/>
  <c r="J660" i="22"/>
  <c r="J659" i="22"/>
  <c r="J658" i="22"/>
  <c r="J657" i="22"/>
  <c r="J656" i="22"/>
  <c r="J655" i="22"/>
  <c r="J653" i="22"/>
  <c r="J652" i="22"/>
  <c r="N651" i="22"/>
  <c r="L651" i="22"/>
  <c r="O651" i="22" s="1"/>
  <c r="I651" i="22"/>
  <c r="K651" i="22" s="1"/>
  <c r="N650" i="22"/>
  <c r="L650" i="22"/>
  <c r="O650" i="22" s="1"/>
  <c r="J650" i="22"/>
  <c r="I650" i="22"/>
  <c r="K650" i="22" s="1"/>
  <c r="N649" i="22"/>
  <c r="L649" i="22"/>
  <c r="O649" i="22" s="1"/>
  <c r="J649" i="22"/>
  <c r="I649" i="22"/>
  <c r="K649" i="22" s="1"/>
  <c r="N648" i="22"/>
  <c r="L648" i="22"/>
  <c r="O648" i="22" s="1"/>
  <c r="J648" i="22"/>
  <c r="I648" i="22"/>
  <c r="K648" i="22" s="1"/>
  <c r="J647" i="22"/>
  <c r="J646" i="22"/>
  <c r="O639" i="22"/>
  <c r="O637" i="22"/>
  <c r="J635" i="22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N437" i="22"/>
  <c r="L437" i="22"/>
  <c r="N436" i="22"/>
  <c r="L436" i="22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O353" i="22" s="1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L335" i="22"/>
  <c r="L334" i="22"/>
  <c r="N333" i="22"/>
  <c r="M333" i="22"/>
  <c r="O332" i="22"/>
  <c r="P330" i="22"/>
  <c r="N330" i="22"/>
  <c r="M330" i="22"/>
  <c r="L330" i="22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P314" i="22" s="1"/>
  <c r="O313" i="22"/>
  <c r="P311" i="22"/>
  <c r="N311" i="22"/>
  <c r="M311" i="22"/>
  <c r="L311" i="22"/>
  <c r="O311" i="22" s="1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P294" i="22" s="1"/>
  <c r="O293" i="22"/>
  <c r="N291" i="22"/>
  <c r="M291" i="22"/>
  <c r="L291" i="22"/>
  <c r="O291" i="22" s="1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O279" i="22" s="1"/>
  <c r="L277" i="22"/>
  <c r="L276" i="22"/>
  <c r="N275" i="22"/>
  <c r="M275" i="22"/>
  <c r="M273" i="22" s="1"/>
  <c r="P273" i="22" s="1"/>
  <c r="O274" i="22"/>
  <c r="O272" i="22"/>
  <c r="N272" i="22"/>
  <c r="M272" i="22"/>
  <c r="P272" i="22" s="1"/>
  <c r="L272" i="22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P254" i="22" s="1"/>
  <c r="O253" i="22"/>
  <c r="P251" i="22"/>
  <c r="N251" i="22"/>
  <c r="M251" i="22"/>
  <c r="L251" i="22"/>
  <c r="O251" i="22" s="1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O223" i="22"/>
  <c r="N221" i="22"/>
  <c r="M221" i="22"/>
  <c r="L221" i="22"/>
  <c r="O221" i="22" s="1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L146" i="22"/>
  <c r="L145" i="22"/>
  <c r="N144" i="22"/>
  <c r="M144" i="22"/>
  <c r="O143" i="22"/>
  <c r="N141" i="22"/>
  <c r="M141" i="22"/>
  <c r="P141" i="22" s="1"/>
  <c r="L141" i="22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O121" i="22"/>
  <c r="N119" i="22"/>
  <c r="M119" i="22"/>
  <c r="L119" i="22"/>
  <c r="O119" i="22" s="1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P98" i="22" s="1"/>
  <c r="O97" i="22"/>
  <c r="N95" i="22"/>
  <c r="M95" i="22"/>
  <c r="P95" i="22" s="1"/>
  <c r="L95" i="22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P70" i="22" s="1"/>
  <c r="O69" i="22"/>
  <c r="P67" i="22"/>
  <c r="N67" i="22"/>
  <c r="M67" i="22"/>
  <c r="L67" i="22"/>
  <c r="O67" i="22" s="1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M55" i="22" s="1"/>
  <c r="N54" i="22"/>
  <c r="M54" i="22"/>
  <c r="P54" i="22" s="1"/>
  <c r="L54" i="22"/>
  <c r="N49" i="22"/>
  <c r="L49" i="22"/>
  <c r="L47" i="22"/>
  <c r="L46" i="22"/>
  <c r="N45" i="22"/>
  <c r="M45" i="22"/>
  <c r="M43" i="22" s="1"/>
  <c r="N42" i="22"/>
  <c r="M42" i="22"/>
  <c r="L42" i="22"/>
  <c r="O42" i="22" s="1"/>
  <c r="P36" i="22"/>
  <c r="O36" i="22"/>
  <c r="P35" i="22"/>
  <c r="O35" i="22"/>
  <c r="M34" i="22"/>
  <c r="P34" i="22" s="1"/>
  <c r="M33" i="22"/>
  <c r="P33" i="22" s="1"/>
  <c r="M32" i="22"/>
  <c r="M30" i="22" s="1"/>
  <c r="P30" i="22" s="1"/>
  <c r="M31" i="22"/>
  <c r="P31" i="22" s="1"/>
  <c r="M29" i="22"/>
  <c r="P25" i="22"/>
  <c r="N25" i="22"/>
  <c r="M25" i="22"/>
  <c r="L25" i="22"/>
  <c r="N24" i="22"/>
  <c r="M24" i="22"/>
  <c r="P24" i="22" s="1"/>
  <c r="N23" i="22"/>
  <c r="M23" i="22"/>
  <c r="P21" i="22"/>
  <c r="N21" i="22"/>
  <c r="M21" i="22"/>
  <c r="M19" i="22" s="1"/>
  <c r="P19" i="22" s="1"/>
  <c r="L21" i="22"/>
  <c r="O21" i="22" s="1"/>
  <c r="P15" i="22"/>
  <c r="N15" i="22"/>
  <c r="M15" i="22"/>
  <c r="M11" i="22"/>
  <c r="P11" i="22" s="1"/>
  <c r="M9" i="22"/>
  <c r="J677" i="21"/>
  <c r="J676" i="21"/>
  <c r="J675" i="21"/>
  <c r="J674" i="21"/>
  <c r="J673" i="21"/>
  <c r="J672" i="21"/>
  <c r="N671" i="21"/>
  <c r="L671" i="21"/>
  <c r="I671" i="21"/>
  <c r="J670" i="21"/>
  <c r="J669" i="21"/>
  <c r="N668" i="21"/>
  <c r="L668" i="21"/>
  <c r="J668" i="21"/>
  <c r="I668" i="21"/>
  <c r="J667" i="21"/>
  <c r="J666" i="21"/>
  <c r="N665" i="21"/>
  <c r="L665" i="21"/>
  <c r="J665" i="21"/>
  <c r="I665" i="21"/>
  <c r="J663" i="21"/>
  <c r="I663" i="21"/>
  <c r="J662" i="21"/>
  <c r="N661" i="21"/>
  <c r="L661" i="21"/>
  <c r="J661" i="21"/>
  <c r="J660" i="21"/>
  <c r="J659" i="21"/>
  <c r="J658" i="21"/>
  <c r="J657" i="21"/>
  <c r="J656" i="21"/>
  <c r="J655" i="21"/>
  <c r="J653" i="21"/>
  <c r="J652" i="21"/>
  <c r="N651" i="21"/>
  <c r="L651" i="21"/>
  <c r="I651" i="21"/>
  <c r="N650" i="21"/>
  <c r="L650" i="21"/>
  <c r="J650" i="21"/>
  <c r="I650" i="21"/>
  <c r="N649" i="21"/>
  <c r="L649" i="21"/>
  <c r="O649" i="21" s="1"/>
  <c r="J649" i="21"/>
  <c r="I649" i="21"/>
  <c r="K649" i="21" s="1"/>
  <c r="N648" i="21"/>
  <c r="L648" i="21"/>
  <c r="O648" i="21" s="1"/>
  <c r="J648" i="21"/>
  <c r="I648" i="21"/>
  <c r="K648" i="21" s="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M337" i="21" s="1"/>
  <c r="L335" i="21"/>
  <c r="L334" i="21"/>
  <c r="N333" i="21"/>
  <c r="M333" i="21"/>
  <c r="O332" i="21"/>
  <c r="O330" i="21"/>
  <c r="N330" i="21"/>
  <c r="M330" i="21"/>
  <c r="P330" i="21" s="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N311" i="21"/>
  <c r="M311" i="21"/>
  <c r="P311" i="21" s="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N291" i="21"/>
  <c r="M291" i="21"/>
  <c r="L291" i="21"/>
  <c r="O291" i="21" s="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N272" i="21"/>
  <c r="M272" i="2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N221" i="21"/>
  <c r="M221" i="21"/>
  <c r="P221" i="21" s="1"/>
  <c r="L221" i="21"/>
  <c r="O221" i="21" s="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P141" i="21"/>
  <c r="N141" i="21"/>
  <c r="M141" i="21"/>
  <c r="L141" i="2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M120" i="21" s="1"/>
  <c r="O121" i="21"/>
  <c r="N119" i="21"/>
  <c r="M119" i="21"/>
  <c r="P119" i="21" s="1"/>
  <c r="L119" i="21"/>
  <c r="O119" i="21" s="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O97" i="21"/>
  <c r="P95" i="21"/>
  <c r="O95" i="21"/>
  <c r="N95" i="21"/>
  <c r="M95" i="21"/>
  <c r="L95" i="21"/>
  <c r="J93" i="21"/>
  <c r="I93" i="21"/>
  <c r="K93" i="21" s="1"/>
  <c r="J92" i="21"/>
  <c r="I92" i="21"/>
  <c r="K92" i="21" s="1"/>
  <c r="J90" i="21"/>
  <c r="J89" i="21"/>
  <c r="J88" i="21"/>
  <c r="I88" i="2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L72" i="21"/>
  <c r="L71" i="21"/>
  <c r="N70" i="21"/>
  <c r="M70" i="21"/>
  <c r="O69" i="21"/>
  <c r="N67" i="21"/>
  <c r="M67" i="21"/>
  <c r="P67" i="21" s="1"/>
  <c r="L67" i="21"/>
  <c r="O67" i="21" s="1"/>
  <c r="J65" i="21"/>
  <c r="I65" i="21"/>
  <c r="J64" i="21"/>
  <c r="I64" i="21"/>
  <c r="N61" i="21"/>
  <c r="L61" i="21"/>
  <c r="O61" i="21" s="1"/>
  <c r="L59" i="21"/>
  <c r="L58" i="21"/>
  <c r="N57" i="21"/>
  <c r="M57" i="21"/>
  <c r="M55" i="21" s="1"/>
  <c r="P54" i="21"/>
  <c r="N54" i="21"/>
  <c r="M54" i="21"/>
  <c r="L54" i="21"/>
  <c r="O54" i="21" s="1"/>
  <c r="N49" i="21"/>
  <c r="L49" i="21"/>
  <c r="O49" i="21" s="1"/>
  <c r="L47" i="21"/>
  <c r="L46" i="21"/>
  <c r="N45" i="21"/>
  <c r="M45" i="21"/>
  <c r="M43" i="21" s="1"/>
  <c r="M41" i="21" s="1"/>
  <c r="N42" i="21"/>
  <c r="M42" i="21"/>
  <c r="P42" i="21" s="1"/>
  <c r="L42" i="21"/>
  <c r="O42" i="21" s="1"/>
  <c r="P36" i="21"/>
  <c r="O36" i="21"/>
  <c r="P35" i="21"/>
  <c r="O35" i="21"/>
  <c r="M34" i="21"/>
  <c r="P34" i="21" s="1"/>
  <c r="M33" i="21"/>
  <c r="P33" i="21" s="1"/>
  <c r="M32" i="21"/>
  <c r="M30" i="21" s="1"/>
  <c r="P30" i="21" s="1"/>
  <c r="P31" i="21"/>
  <c r="M31" i="21"/>
  <c r="P29" i="21"/>
  <c r="M29" i="21"/>
  <c r="N25" i="21"/>
  <c r="M25" i="21"/>
  <c r="M15" i="21" s="1"/>
  <c r="P15" i="21" s="1"/>
  <c r="L25" i="21"/>
  <c r="N24" i="21"/>
  <c r="M24" i="21"/>
  <c r="N23" i="21"/>
  <c r="M23" i="21"/>
  <c r="P23" i="21" s="1"/>
  <c r="N21" i="21"/>
  <c r="M21" i="21"/>
  <c r="P21" i="21" s="1"/>
  <c r="L21" i="21"/>
  <c r="N15" i="21"/>
  <c r="M13" i="21"/>
  <c r="P13" i="21" s="1"/>
  <c r="J677" i="20"/>
  <c r="J676" i="20"/>
  <c r="J675" i="20"/>
  <c r="J674" i="20"/>
  <c r="J673" i="20"/>
  <c r="J672" i="20"/>
  <c r="N671" i="20"/>
  <c r="L671" i="20"/>
  <c r="O671" i="20" s="1"/>
  <c r="I671" i="20"/>
  <c r="K671" i="20" s="1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J665" i="20"/>
  <c r="I665" i="20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O651" i="20" s="1"/>
  <c r="I651" i="20"/>
  <c r="K651" i="20" s="1"/>
  <c r="N650" i="20"/>
  <c r="L650" i="20"/>
  <c r="O650" i="20" s="1"/>
  <c r="J650" i="20"/>
  <c r="I650" i="20"/>
  <c r="K650" i="20" s="1"/>
  <c r="N649" i="20"/>
  <c r="L649" i="20"/>
  <c r="O649" i="20" s="1"/>
  <c r="J649" i="20"/>
  <c r="I649" i="20"/>
  <c r="K649" i="20" s="1"/>
  <c r="N648" i="20"/>
  <c r="L648" i="20"/>
  <c r="O648" i="20" s="1"/>
  <c r="J648" i="20"/>
  <c r="I648" i="20"/>
  <c r="K648" i="20" s="1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N383" i="20"/>
  <c r="L383" i="20"/>
  <c r="N382" i="20"/>
  <c r="L382" i="20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O352" i="20" s="1"/>
  <c r="N351" i="20"/>
  <c r="L351" i="20"/>
  <c r="O351" i="20" s="1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L335" i="20"/>
  <c r="L334" i="20"/>
  <c r="N333" i="20"/>
  <c r="M333" i="20"/>
  <c r="O332" i="20"/>
  <c r="N330" i="20"/>
  <c r="M330" i="20"/>
  <c r="L330" i="20"/>
  <c r="O330" i="20" s="1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P314" i="20" s="1"/>
  <c r="O313" i="20"/>
  <c r="O311" i="20"/>
  <c r="N311" i="20"/>
  <c r="M311" i="20"/>
  <c r="P311" i="20" s="1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O293" i="20"/>
  <c r="N291" i="20"/>
  <c r="M291" i="20"/>
  <c r="P291" i="20" s="1"/>
  <c r="L291" i="20"/>
  <c r="O291" i="20" s="1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M273" i="20" s="1"/>
  <c r="P273" i="20" s="1"/>
  <c r="O274" i="20"/>
  <c r="N272" i="20"/>
  <c r="M272" i="20"/>
  <c r="P272" i="20" s="1"/>
  <c r="L272" i="20"/>
  <c r="O272" i="20" s="1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N251" i="20"/>
  <c r="M251" i="20"/>
  <c r="P251" i="20" s="1"/>
  <c r="L251" i="20"/>
  <c r="O251" i="20" s="1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M220" i="20" s="1"/>
  <c r="O223" i="20"/>
  <c r="N221" i="20"/>
  <c r="M221" i="20"/>
  <c r="P221" i="20" s="1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N141" i="20"/>
  <c r="M141" i="20"/>
  <c r="L141" i="20"/>
  <c r="O141" i="20" s="1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P119" i="20"/>
  <c r="N119" i="20"/>
  <c r="M119" i="20"/>
  <c r="L119" i="20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O97" i="20"/>
  <c r="N95" i="20"/>
  <c r="M95" i="20"/>
  <c r="P95" i="20" s="1"/>
  <c r="L95" i="20"/>
  <c r="O95" i="20" s="1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O69" i="20"/>
  <c r="O67" i="20"/>
  <c r="N67" i="20"/>
  <c r="M67" i="20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M55" i="20" s="1"/>
  <c r="O54" i="20"/>
  <c r="N54" i="20"/>
  <c r="M54" i="20"/>
  <c r="P54" i="20" s="1"/>
  <c r="L54" i="20"/>
  <c r="N49" i="20"/>
  <c r="L49" i="20"/>
  <c r="L47" i="20"/>
  <c r="L46" i="20"/>
  <c r="N45" i="20"/>
  <c r="M45" i="20"/>
  <c r="O42" i="20"/>
  <c r="N42" i="20"/>
  <c r="M42" i="20"/>
  <c r="P42" i="20" s="1"/>
  <c r="L42" i="20"/>
  <c r="P36" i="20"/>
  <c r="O36" i="20"/>
  <c r="P35" i="20"/>
  <c r="O35" i="20"/>
  <c r="M34" i="20"/>
  <c r="P34" i="20" s="1"/>
  <c r="M33" i="20"/>
  <c r="P33" i="20" s="1"/>
  <c r="M32" i="20"/>
  <c r="P31" i="20"/>
  <c r="M31" i="20"/>
  <c r="M29" i="20"/>
  <c r="P29" i="20" s="1"/>
  <c r="N25" i="20"/>
  <c r="M25" i="20"/>
  <c r="L25" i="20"/>
  <c r="N24" i="20"/>
  <c r="M24" i="20"/>
  <c r="N23" i="20"/>
  <c r="M23" i="20"/>
  <c r="N21" i="20"/>
  <c r="N19" i="20" s="1"/>
  <c r="M21" i="20"/>
  <c r="M19" i="20" s="1"/>
  <c r="L21" i="20"/>
  <c r="N15" i="20"/>
  <c r="M11" i="20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J665" i="19"/>
  <c r="I665" i="19"/>
  <c r="J663" i="19"/>
  <c r="I663" i="19"/>
  <c r="J662" i="19"/>
  <c r="N661" i="19"/>
  <c r="L661" i="19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N649" i="19"/>
  <c r="L649" i="19"/>
  <c r="O649" i="19" s="1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4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N330" i="19"/>
  <c r="M330" i="19"/>
  <c r="P330" i="19" s="1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O313" i="19"/>
  <c r="N311" i="19"/>
  <c r="M311" i="19"/>
  <c r="P311" i="19" s="1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O293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L277" i="19"/>
  <c r="L276" i="19"/>
  <c r="N275" i="19"/>
  <c r="M275" i="19"/>
  <c r="O274" i="19"/>
  <c r="N272" i="19"/>
  <c r="M272" i="19"/>
  <c r="P272" i="19" s="1"/>
  <c r="L272" i="19"/>
  <c r="O272" i="19" s="1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L256" i="19"/>
  <c r="L255" i="19"/>
  <c r="N254" i="19"/>
  <c r="M254" i="19"/>
  <c r="O253" i="19"/>
  <c r="N251" i="19"/>
  <c r="M251" i="19"/>
  <c r="L251" i="19"/>
  <c r="O251" i="19" s="1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O223" i="19"/>
  <c r="N221" i="19"/>
  <c r="M221" i="19"/>
  <c r="P221" i="19" s="1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P141" i="19"/>
  <c r="N141" i="19"/>
  <c r="M141" i="19"/>
  <c r="L141" i="19"/>
  <c r="O141" i="19" s="1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M120" i="19" s="1"/>
  <c r="O121" i="19"/>
  <c r="O119" i="19"/>
  <c r="N119" i="19"/>
  <c r="M119" i="19"/>
  <c r="P119" i="19" s="1"/>
  <c r="L119" i="19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M102" i="19" s="1"/>
  <c r="L100" i="19"/>
  <c r="L99" i="19"/>
  <c r="N98" i="19"/>
  <c r="M98" i="19"/>
  <c r="O97" i="19"/>
  <c r="N95" i="19"/>
  <c r="M95" i="19"/>
  <c r="P95" i="19" s="1"/>
  <c r="L95" i="19"/>
  <c r="O95" i="19" s="1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P70" i="19" s="1"/>
  <c r="O69" i="19"/>
  <c r="P67" i="19"/>
  <c r="N67" i="19"/>
  <c r="M67" i="19"/>
  <c r="L67" i="19"/>
  <c r="O67" i="19" s="1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P54" i="19"/>
  <c r="N54" i="19"/>
  <c r="M54" i="19"/>
  <c r="L54" i="19"/>
  <c r="O54" i="19" s="1"/>
  <c r="N49" i="19"/>
  <c r="L49" i="19"/>
  <c r="O49" i="19" s="1"/>
  <c r="L47" i="19"/>
  <c r="L46" i="19"/>
  <c r="N45" i="19"/>
  <c r="M45" i="19"/>
  <c r="M43" i="19" s="1"/>
  <c r="N42" i="19"/>
  <c r="M42" i="19"/>
  <c r="P42" i="19" s="1"/>
  <c r="L42" i="19"/>
  <c r="P36" i="19"/>
  <c r="O36" i="19"/>
  <c r="P35" i="19"/>
  <c r="O35" i="19"/>
  <c r="M34" i="19"/>
  <c r="P34" i="19" s="1"/>
  <c r="M33" i="19"/>
  <c r="P33" i="19" s="1"/>
  <c r="M32" i="19"/>
  <c r="P31" i="19"/>
  <c r="M31" i="19"/>
  <c r="M29" i="19"/>
  <c r="N25" i="19"/>
  <c r="N15" i="19" s="1"/>
  <c r="M25" i="19"/>
  <c r="P25" i="19" s="1"/>
  <c r="L25" i="19"/>
  <c r="O25" i="19" s="1"/>
  <c r="N24" i="19"/>
  <c r="M24" i="19"/>
  <c r="P24" i="19" s="1"/>
  <c r="N23" i="19"/>
  <c r="M23" i="19"/>
  <c r="P23" i="19" s="1"/>
  <c r="N21" i="19"/>
  <c r="N19" i="19" s="1"/>
  <c r="M21" i="19"/>
  <c r="L21" i="19"/>
  <c r="L15" i="19"/>
  <c r="O15" i="19" s="1"/>
  <c r="M14" i="19"/>
  <c r="P14" i="19" s="1"/>
  <c r="M13" i="19"/>
  <c r="P13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5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O354" i="18" s="1"/>
  <c r="N353" i="18"/>
  <c r="L353" i="18"/>
  <c r="O353" i="18" s="1"/>
  <c r="N352" i="18"/>
  <c r="L352" i="18"/>
  <c r="O352" i="18" s="1"/>
  <c r="N351" i="18"/>
  <c r="L351" i="18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O330" i="18"/>
  <c r="N330" i="18"/>
  <c r="M330" i="18"/>
  <c r="P330" i="18" s="1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N311" i="18"/>
  <c r="M311" i="18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P291" i="18" s="1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M271" i="18" s="1"/>
  <c r="O274" i="18"/>
  <c r="N272" i="18"/>
  <c r="M272" i="18"/>
  <c r="P272" i="18" s="1"/>
  <c r="L272" i="18"/>
  <c r="O272" i="18" s="1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L256" i="18"/>
  <c r="L255" i="18"/>
  <c r="N254" i="18"/>
  <c r="M254" i="18"/>
  <c r="P254" i="18" s="1"/>
  <c r="O253" i="18"/>
  <c r="N251" i="18"/>
  <c r="M251" i="18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N221" i="18"/>
  <c r="M221" i="18"/>
  <c r="P221" i="18" s="1"/>
  <c r="L221" i="18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M140" i="18" s="1"/>
  <c r="O143" i="18"/>
  <c r="P141" i="18"/>
  <c r="N141" i="18"/>
  <c r="M141" i="18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N119" i="18"/>
  <c r="M119" i="18"/>
  <c r="P119" i="18" s="1"/>
  <c r="L119" i="18"/>
  <c r="O119" i="18" s="1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P98" i="18" s="1"/>
  <c r="O97" i="18"/>
  <c r="O95" i="18"/>
  <c r="N95" i="18"/>
  <c r="M95" i="18"/>
  <c r="P95" i="18" s="1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M74" i="18" s="1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N54" i="18"/>
  <c r="M54" i="18"/>
  <c r="P54" i="18" s="1"/>
  <c r="L54" i="18"/>
  <c r="O54" i="18" s="1"/>
  <c r="N49" i="18"/>
  <c r="L49" i="18"/>
  <c r="O49" i="18" s="1"/>
  <c r="L47" i="18"/>
  <c r="L46" i="18"/>
  <c r="N45" i="18"/>
  <c r="M45" i="18"/>
  <c r="N42" i="18"/>
  <c r="M42" i="18"/>
  <c r="P42" i="18" s="1"/>
  <c r="L42" i="18"/>
  <c r="P36" i="18"/>
  <c r="O36" i="18"/>
  <c r="P35" i="18"/>
  <c r="O35" i="18"/>
  <c r="M34" i="18"/>
  <c r="P34" i="18" s="1"/>
  <c r="M33" i="18"/>
  <c r="P33" i="18" s="1"/>
  <c r="M32" i="18"/>
  <c r="M30" i="18" s="1"/>
  <c r="M31" i="18"/>
  <c r="M29" i="18" s="1"/>
  <c r="P29" i="18" s="1"/>
  <c r="N25" i="18"/>
  <c r="N15" i="18" s="1"/>
  <c r="M25" i="18"/>
  <c r="M15" i="18" s="1"/>
  <c r="P15" i="18" s="1"/>
  <c r="L25" i="18"/>
  <c r="O25" i="18" s="1"/>
  <c r="P24" i="18"/>
  <c r="N24" i="18"/>
  <c r="M24" i="18"/>
  <c r="N23" i="18"/>
  <c r="M23" i="18"/>
  <c r="P23" i="18" s="1"/>
  <c r="N21" i="18"/>
  <c r="N19" i="18" s="1"/>
  <c r="M21" i="18"/>
  <c r="M11" i="18" s="1"/>
  <c r="P11" i="18" s="1"/>
  <c r="L21" i="18"/>
  <c r="O21" i="18" s="1"/>
  <c r="L19" i="18"/>
  <c r="L15" i="18"/>
  <c r="O15" i="18" s="1"/>
  <c r="M14" i="18"/>
  <c r="P14" i="18" s="1"/>
  <c r="J677" i="17"/>
  <c r="J676" i="17"/>
  <c r="J675" i="17"/>
  <c r="J674" i="17"/>
  <c r="J673" i="17"/>
  <c r="J672" i="17"/>
  <c r="N671" i="17"/>
  <c r="L671" i="17"/>
  <c r="I671" i="17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J650" i="17"/>
  <c r="I650" i="17"/>
  <c r="N649" i="17"/>
  <c r="L649" i="17"/>
  <c r="J649" i="17"/>
  <c r="I649" i="17"/>
  <c r="N648" i="17"/>
  <c r="L648" i="17"/>
  <c r="J648" i="17"/>
  <c r="I648" i="17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N553" i="17"/>
  <c r="L553" i="17"/>
  <c r="O553" i="17" s="1"/>
  <c r="N552" i="17"/>
  <c r="L552" i="17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N330" i="17"/>
  <c r="M330" i="17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O311" i="17"/>
  <c r="N311" i="17"/>
  <c r="M311" i="17"/>
  <c r="P311" i="17" s="1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M292" i="17" s="1"/>
  <c r="O293" i="17"/>
  <c r="N291" i="17"/>
  <c r="M291" i="17"/>
  <c r="P291" i="17" s="1"/>
  <c r="L291" i="17"/>
  <c r="O291" i="17" s="1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O274" i="17"/>
  <c r="P272" i="17"/>
  <c r="O272" i="17"/>
  <c r="N272" i="17"/>
  <c r="M272" i="17"/>
  <c r="L272" i="17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L256" i="17"/>
  <c r="L255" i="17"/>
  <c r="N254" i="17"/>
  <c r="M254" i="17"/>
  <c r="O253" i="17"/>
  <c r="P251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N221" i="17"/>
  <c r="M221" i="17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N119" i="17"/>
  <c r="M119" i="17"/>
  <c r="P119" i="17" s="1"/>
  <c r="L119" i="17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O97" i="17"/>
  <c r="N95" i="17"/>
  <c r="M95" i="17"/>
  <c r="P95" i="17" s="1"/>
  <c r="L95" i="17"/>
  <c r="O95" i="17" s="1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L72" i="17"/>
  <c r="L71" i="17"/>
  <c r="N70" i="17"/>
  <c r="M70" i="17"/>
  <c r="O69" i="17"/>
  <c r="N67" i="17"/>
  <c r="M67" i="17"/>
  <c r="P67" i="17" s="1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N54" i="17"/>
  <c r="M54" i="17"/>
  <c r="L54" i="17"/>
  <c r="O54" i="17" s="1"/>
  <c r="N49" i="17"/>
  <c r="L49" i="17"/>
  <c r="L47" i="17"/>
  <c r="L46" i="17"/>
  <c r="N45" i="17"/>
  <c r="M45" i="17"/>
  <c r="N42" i="17"/>
  <c r="M42" i="17"/>
  <c r="P42" i="17" s="1"/>
  <c r="L42" i="17"/>
  <c r="O42" i="17" s="1"/>
  <c r="P36" i="17"/>
  <c r="O36" i="17"/>
  <c r="P35" i="17"/>
  <c r="O35" i="17"/>
  <c r="M34" i="17"/>
  <c r="P34" i="17" s="1"/>
  <c r="M33" i="17"/>
  <c r="P33" i="17" s="1"/>
  <c r="M32" i="17"/>
  <c r="P31" i="17"/>
  <c r="M31" i="17"/>
  <c r="M29" i="17" s="1"/>
  <c r="P29" i="17"/>
  <c r="N25" i="17"/>
  <c r="M25" i="17"/>
  <c r="L25" i="17"/>
  <c r="N24" i="17"/>
  <c r="M24" i="17"/>
  <c r="P24" i="17" s="1"/>
  <c r="N23" i="17"/>
  <c r="M23" i="17"/>
  <c r="P23" i="17" s="1"/>
  <c r="O21" i="17"/>
  <c r="N21" i="17"/>
  <c r="M21" i="17"/>
  <c r="P21" i="17" s="1"/>
  <c r="L21" i="17"/>
  <c r="L19" i="17"/>
  <c r="O19" i="17" s="1"/>
  <c r="N15" i="17"/>
  <c r="M13" i="17"/>
  <c r="P13" i="17" s="1"/>
  <c r="M11" i="17"/>
  <c r="P11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J649" i="16"/>
  <c r="I649" i="16"/>
  <c r="N648" i="16"/>
  <c r="L648" i="16"/>
  <c r="J648" i="16"/>
  <c r="I648" i="16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6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J370" i="16"/>
  <c r="I370" i="16"/>
  <c r="K370" i="16" s="1"/>
  <c r="J369" i="16"/>
  <c r="I369" i="16"/>
  <c r="K369" i="16" s="1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O353" i="16" s="1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N330" i="16"/>
  <c r="M330" i="16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N311" i="16"/>
  <c r="M311" i="16"/>
  <c r="P311" i="16" s="1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N291" i="16"/>
  <c r="M291" i="16"/>
  <c r="P291" i="16" s="1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N272" i="16"/>
  <c r="M272" i="16"/>
  <c r="P272" i="16" s="1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N251" i="16"/>
  <c r="M251" i="16"/>
  <c r="P251" i="16" s="1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N221" i="16"/>
  <c r="M221" i="16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N141" i="16"/>
  <c r="M141" i="16"/>
  <c r="L141" i="16"/>
  <c r="O141" i="16" s="1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N119" i="16"/>
  <c r="M119" i="16"/>
  <c r="P119" i="16" s="1"/>
  <c r="L119" i="16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M102" i="16" s="1"/>
  <c r="L100" i="16"/>
  <c r="L99" i="16"/>
  <c r="N98" i="16"/>
  <c r="M98" i="16"/>
  <c r="O97" i="16"/>
  <c r="N95" i="16"/>
  <c r="M95" i="16"/>
  <c r="L95" i="16"/>
  <c r="O95" i="16" s="1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L72" i="16"/>
  <c r="L71" i="16"/>
  <c r="N70" i="16"/>
  <c r="M70" i="16"/>
  <c r="O69" i="16"/>
  <c r="N67" i="16"/>
  <c r="M67" i="16"/>
  <c r="P67" i="16" s="1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N54" i="16"/>
  <c r="M54" i="16"/>
  <c r="L54" i="16"/>
  <c r="O54" i="16" s="1"/>
  <c r="N49" i="16"/>
  <c r="L49" i="16"/>
  <c r="O49" i="16" s="1"/>
  <c r="L47" i="16"/>
  <c r="L46" i="16"/>
  <c r="N45" i="16"/>
  <c r="M45" i="16"/>
  <c r="N42" i="16"/>
  <c r="M42" i="16"/>
  <c r="P42" i="16" s="1"/>
  <c r="L42" i="16"/>
  <c r="O42" i="16" s="1"/>
  <c r="P36" i="16"/>
  <c r="O36" i="16"/>
  <c r="P35" i="16"/>
  <c r="O35" i="16"/>
  <c r="M34" i="16"/>
  <c r="P34" i="16" s="1"/>
  <c r="M33" i="16"/>
  <c r="P33" i="16" s="1"/>
  <c r="M32" i="16"/>
  <c r="M31" i="16"/>
  <c r="P31" i="16" s="1"/>
  <c r="N25" i="16"/>
  <c r="M25" i="16"/>
  <c r="L25" i="16"/>
  <c r="N24" i="16"/>
  <c r="M24" i="16"/>
  <c r="P24" i="16" s="1"/>
  <c r="N23" i="16"/>
  <c r="M23" i="16"/>
  <c r="P23" i="16" s="1"/>
  <c r="O21" i="16"/>
  <c r="N21" i="16"/>
  <c r="M21" i="16"/>
  <c r="P21" i="16" s="1"/>
  <c r="L21" i="16"/>
  <c r="N15" i="16"/>
  <c r="P14" i="16"/>
  <c r="M14" i="16"/>
  <c r="M11" i="16"/>
  <c r="P11" i="16" s="1"/>
  <c r="J677" i="15"/>
  <c r="J676" i="15"/>
  <c r="J675" i="15"/>
  <c r="J674" i="15"/>
  <c r="J673" i="15"/>
  <c r="J672" i="15"/>
  <c r="N671" i="15"/>
  <c r="L671" i="15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O311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O272" i="15"/>
  <c r="N272" i="15"/>
  <c r="M272" i="15"/>
  <c r="P272" i="15" s="1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M250" i="15" s="1"/>
  <c r="O253" i="15"/>
  <c r="O251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N221" i="15"/>
  <c r="M221" i="15"/>
  <c r="P221" i="15" s="1"/>
  <c r="L221" i="15"/>
  <c r="O221" i="15" s="1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N141" i="15"/>
  <c r="M141" i="15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N119" i="15"/>
  <c r="M119" i="15"/>
  <c r="P119" i="15" s="1"/>
  <c r="L119" i="15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O95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P67" i="15"/>
  <c r="N67" i="15"/>
  <c r="M67" i="15"/>
  <c r="L67" i="15"/>
  <c r="O67" i="15" s="1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P54" i="15"/>
  <c r="N54" i="15"/>
  <c r="M54" i="15"/>
  <c r="L54" i="15"/>
  <c r="O54" i="15" s="1"/>
  <c r="N49" i="15"/>
  <c r="L49" i="15"/>
  <c r="L47" i="15"/>
  <c r="L46" i="15"/>
  <c r="N45" i="15"/>
  <c r="M45" i="15"/>
  <c r="M43" i="15" s="1"/>
  <c r="N42" i="15"/>
  <c r="M42" i="15"/>
  <c r="P42" i="15" s="1"/>
  <c r="L42" i="15"/>
  <c r="P36" i="15"/>
  <c r="O36" i="15"/>
  <c r="P35" i="15"/>
  <c r="O35" i="15"/>
  <c r="M34" i="15"/>
  <c r="P34" i="15" s="1"/>
  <c r="M33" i="15"/>
  <c r="P33" i="15" s="1"/>
  <c r="M32" i="15"/>
  <c r="M30" i="15" s="1"/>
  <c r="P31" i="15"/>
  <c r="M31" i="15"/>
  <c r="M29" i="15"/>
  <c r="P29" i="15" s="1"/>
  <c r="P25" i="15"/>
  <c r="N25" i="15"/>
  <c r="M25" i="15"/>
  <c r="L25" i="15"/>
  <c r="O25" i="15" s="1"/>
  <c r="P24" i="15"/>
  <c r="N24" i="15"/>
  <c r="M24" i="15"/>
  <c r="P23" i="15"/>
  <c r="N23" i="15"/>
  <c r="M23" i="15"/>
  <c r="N21" i="15"/>
  <c r="N19" i="15" s="1"/>
  <c r="M21" i="15"/>
  <c r="L21" i="15"/>
  <c r="O15" i="15"/>
  <c r="N15" i="15"/>
  <c r="M15" i="15"/>
  <c r="P15" i="15" s="1"/>
  <c r="L15" i="15"/>
  <c r="M14" i="15"/>
  <c r="P14" i="15" s="1"/>
  <c r="M13" i="15"/>
  <c r="P13" i="15" s="1"/>
  <c r="J677" i="14"/>
  <c r="J676" i="14"/>
  <c r="J675" i="14"/>
  <c r="J674" i="14"/>
  <c r="J673" i="14"/>
  <c r="J672" i="14"/>
  <c r="N671" i="14"/>
  <c r="L671" i="14"/>
  <c r="I671" i="14"/>
  <c r="J670" i="14"/>
  <c r="J669" i="14"/>
  <c r="N668" i="14"/>
  <c r="L668" i="14"/>
  <c r="J668" i="14"/>
  <c r="I668" i="14"/>
  <c r="J667" i="14"/>
  <c r="J666" i="14"/>
  <c r="N665" i="14"/>
  <c r="L665" i="14"/>
  <c r="J665" i="14"/>
  <c r="I665" i="14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I651" i="14"/>
  <c r="N650" i="14"/>
  <c r="L650" i="14"/>
  <c r="O650" i="14" s="1"/>
  <c r="J650" i="14"/>
  <c r="I650" i="14"/>
  <c r="K650" i="14" s="1"/>
  <c r="N649" i="14"/>
  <c r="L649" i="14"/>
  <c r="J649" i="14"/>
  <c r="I649" i="14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2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N352" i="14"/>
  <c r="L352" i="14"/>
  <c r="O352" i="14" s="1"/>
  <c r="N351" i="14"/>
  <c r="L351" i="14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M331" i="14" s="1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P311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P275" i="14" s="1"/>
  <c r="O274" i="14"/>
  <c r="N272" i="14"/>
  <c r="M272" i="14"/>
  <c r="P272" i="14" s="1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P251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P221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N119" i="14"/>
  <c r="M119" i="14"/>
  <c r="P119" i="14" s="1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L100" i="14"/>
  <c r="L99" i="14"/>
  <c r="N98" i="14"/>
  <c r="M98" i="14"/>
  <c r="P98" i="14" s="1"/>
  <c r="O97" i="14"/>
  <c r="N95" i="14"/>
  <c r="M95" i="14"/>
  <c r="L95" i="14"/>
  <c r="O95" i="14" s="1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O69" i="14"/>
  <c r="P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N54" i="14"/>
  <c r="M54" i="14"/>
  <c r="L54" i="14"/>
  <c r="N49" i="14"/>
  <c r="L49" i="14"/>
  <c r="M49" i="14" s="1"/>
  <c r="L47" i="14"/>
  <c r="L46" i="14"/>
  <c r="N45" i="14"/>
  <c r="M45" i="14"/>
  <c r="N42" i="14"/>
  <c r="M42" i="14"/>
  <c r="P42" i="14" s="1"/>
  <c r="L42" i="14"/>
  <c r="O42" i="14" s="1"/>
  <c r="P36" i="14"/>
  <c r="O36" i="14"/>
  <c r="P35" i="14"/>
  <c r="O35" i="14"/>
  <c r="P34" i="14"/>
  <c r="M34" i="14"/>
  <c r="M33" i="14"/>
  <c r="P33" i="14" s="1"/>
  <c r="M32" i="14"/>
  <c r="P32" i="14" s="1"/>
  <c r="M31" i="14"/>
  <c r="N25" i="14"/>
  <c r="N15" i="14" s="1"/>
  <c r="M25" i="14"/>
  <c r="P25" i="14" s="1"/>
  <c r="L25" i="14"/>
  <c r="N24" i="14"/>
  <c r="M24" i="14"/>
  <c r="N23" i="14"/>
  <c r="M23" i="14"/>
  <c r="P21" i="14"/>
  <c r="N21" i="14"/>
  <c r="M21" i="14"/>
  <c r="L21" i="14"/>
  <c r="O21" i="14" s="1"/>
  <c r="M19" i="14"/>
  <c r="P19" i="14" s="1"/>
  <c r="M15" i="14"/>
  <c r="P15" i="14" s="1"/>
  <c r="J677" i="13"/>
  <c r="J676" i="13"/>
  <c r="J675" i="13"/>
  <c r="J674" i="13"/>
  <c r="J673" i="13"/>
  <c r="J672" i="13"/>
  <c r="N671" i="13"/>
  <c r="L671" i="13"/>
  <c r="I671" i="13"/>
  <c r="J670" i="13"/>
  <c r="J669" i="13"/>
  <c r="N668" i="13"/>
  <c r="L668" i="13"/>
  <c r="J668" i="13"/>
  <c r="I668" i="13"/>
  <c r="J667" i="13"/>
  <c r="J666" i="13"/>
  <c r="N665" i="13"/>
  <c r="L665" i="13"/>
  <c r="J665" i="13"/>
  <c r="I665" i="13"/>
  <c r="J663" i="13"/>
  <c r="I663" i="13"/>
  <c r="J662" i="13"/>
  <c r="N661" i="13"/>
  <c r="L661" i="13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J650" i="13"/>
  <c r="I650" i="13"/>
  <c r="K650" i="13" s="1"/>
  <c r="N649" i="13"/>
  <c r="L649" i="13"/>
  <c r="J649" i="13"/>
  <c r="I649" i="13"/>
  <c r="N648" i="13"/>
  <c r="L648" i="13"/>
  <c r="J648" i="13"/>
  <c r="I648" i="13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1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O385" i="13" s="1"/>
  <c r="N384" i="13"/>
  <c r="L384" i="13"/>
  <c r="O384" i="13" s="1"/>
  <c r="N383" i="13"/>
  <c r="L383" i="13"/>
  <c r="O383" i="13" s="1"/>
  <c r="N382" i="13"/>
  <c r="L382" i="13"/>
  <c r="O382" i="13" s="1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O352" i="13" s="1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M337" i="13" s="1"/>
  <c r="M26" i="13" s="1"/>
  <c r="L335" i="13"/>
  <c r="L334" i="13"/>
  <c r="N333" i="13"/>
  <c r="M333" i="13"/>
  <c r="O332" i="13"/>
  <c r="O330" i="13"/>
  <c r="N330" i="13"/>
  <c r="M330" i="13"/>
  <c r="P330" i="13" s="1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P311" i="13"/>
  <c r="N311" i="13"/>
  <c r="M311" i="13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O291" i="13"/>
  <c r="N291" i="13"/>
  <c r="M291" i="13"/>
  <c r="P291" i="13" s="1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N272" i="13"/>
  <c r="M272" i="13"/>
  <c r="P272" i="13" s="1"/>
  <c r="L272" i="13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P251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M220" i="13" s="1"/>
  <c r="O223" i="13"/>
  <c r="O221" i="13"/>
  <c r="N221" i="13"/>
  <c r="M221" i="13"/>
  <c r="P221" i="13" s="1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P141" i="13"/>
  <c r="N141" i="13"/>
  <c r="M141" i="13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L119" i="13"/>
  <c r="O119" i="13" s="1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L100" i="13"/>
  <c r="L99" i="13"/>
  <c r="N98" i="13"/>
  <c r="M98" i="13"/>
  <c r="P98" i="13" s="1"/>
  <c r="O97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L72" i="13"/>
  <c r="L71" i="13"/>
  <c r="N70" i="13"/>
  <c r="M70" i="13"/>
  <c r="M68" i="13" s="1"/>
  <c r="O69" i="13"/>
  <c r="P67" i="13"/>
  <c r="N67" i="13"/>
  <c r="M67" i="13"/>
  <c r="L67" i="13"/>
  <c r="J65" i="13"/>
  <c r="I65" i="13"/>
  <c r="J64" i="13"/>
  <c r="I64" i="13"/>
  <c r="N61" i="13"/>
  <c r="L61" i="13"/>
  <c r="O61" i="13" s="1"/>
  <c r="L59" i="13"/>
  <c r="L58" i="13"/>
  <c r="N57" i="13"/>
  <c r="M57" i="13"/>
  <c r="M55" i="13" s="1"/>
  <c r="N54" i="13"/>
  <c r="M54" i="13"/>
  <c r="L54" i="13"/>
  <c r="O54" i="13" s="1"/>
  <c r="N49" i="13"/>
  <c r="L49" i="13"/>
  <c r="O49" i="13" s="1"/>
  <c r="L47" i="13"/>
  <c r="L46" i="13"/>
  <c r="N45" i="13"/>
  <c r="M45" i="13"/>
  <c r="M43" i="13" s="1"/>
  <c r="N42" i="13"/>
  <c r="M42" i="13"/>
  <c r="P42" i="13" s="1"/>
  <c r="L42" i="13"/>
  <c r="O42" i="13" s="1"/>
  <c r="P36" i="13"/>
  <c r="O36" i="13"/>
  <c r="P35" i="13"/>
  <c r="O35" i="13"/>
  <c r="M34" i="13"/>
  <c r="P34" i="13" s="1"/>
  <c r="M33" i="13"/>
  <c r="P33" i="13" s="1"/>
  <c r="M32" i="13"/>
  <c r="M31" i="13"/>
  <c r="M29" i="13" s="1"/>
  <c r="P29" i="13" s="1"/>
  <c r="N25" i="13"/>
  <c r="N15" i="13" s="1"/>
  <c r="M25" i="13"/>
  <c r="L25" i="13"/>
  <c r="N24" i="13"/>
  <c r="M24" i="13"/>
  <c r="P24" i="13" s="1"/>
  <c r="P23" i="13"/>
  <c r="N23" i="13"/>
  <c r="M23" i="13"/>
  <c r="P21" i="13"/>
  <c r="N21" i="13"/>
  <c r="M21" i="13"/>
  <c r="M19" i="13" s="1"/>
  <c r="L21" i="13"/>
  <c r="O21" i="13" s="1"/>
  <c r="M14" i="13"/>
  <c r="P14" i="13" s="1"/>
  <c r="M13" i="13"/>
  <c r="P13" i="13" s="1"/>
  <c r="P11" i="13"/>
  <c r="M11" i="13"/>
  <c r="J677" i="12"/>
  <c r="J676" i="12"/>
  <c r="J675" i="12"/>
  <c r="J674" i="12"/>
  <c r="J673" i="12"/>
  <c r="J672" i="12"/>
  <c r="N671" i="12"/>
  <c r="L671" i="12"/>
  <c r="I671" i="12"/>
  <c r="J670" i="12"/>
  <c r="J669" i="12"/>
  <c r="N668" i="12"/>
  <c r="L668" i="12"/>
  <c r="J668" i="12"/>
  <c r="I668" i="12"/>
  <c r="J667" i="12"/>
  <c r="J666" i="12"/>
  <c r="N665" i="12"/>
  <c r="L665" i="12"/>
  <c r="J665" i="12"/>
  <c r="I665" i="12"/>
  <c r="J663" i="12"/>
  <c r="I663" i="12"/>
  <c r="J662" i="12"/>
  <c r="N661" i="12"/>
  <c r="L661" i="12"/>
  <c r="J661" i="12"/>
  <c r="J660" i="12"/>
  <c r="J659" i="12"/>
  <c r="J658" i="12"/>
  <c r="J657" i="12"/>
  <c r="J656" i="12"/>
  <c r="J655" i="12"/>
  <c r="J653" i="12"/>
  <c r="J652" i="12"/>
  <c r="N651" i="12"/>
  <c r="L651" i="12"/>
  <c r="I651" i="12"/>
  <c r="N650" i="12"/>
  <c r="L650" i="12"/>
  <c r="J650" i="12"/>
  <c r="I650" i="12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6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N251" i="12"/>
  <c r="M251" i="12"/>
  <c r="P251" i="12" s="1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N221" i="12"/>
  <c r="M221" i="12"/>
  <c r="P221" i="12" s="1"/>
  <c r="L221" i="12"/>
  <c r="O221" i="12" s="1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N141" i="12"/>
  <c r="M141" i="12"/>
  <c r="L141" i="12"/>
  <c r="O141" i="12" s="1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O119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P95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P70" i="12" s="1"/>
  <c r="O69" i="12"/>
  <c r="N67" i="12"/>
  <c r="M67" i="12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O54" i="12"/>
  <c r="N54" i="12"/>
  <c r="M54" i="12"/>
  <c r="L54" i="12"/>
  <c r="N49" i="12"/>
  <c r="L49" i="12"/>
  <c r="L47" i="12"/>
  <c r="L46" i="12"/>
  <c r="N45" i="12"/>
  <c r="M45" i="12"/>
  <c r="N42" i="12"/>
  <c r="M42" i="12"/>
  <c r="P42" i="12" s="1"/>
  <c r="L42" i="12"/>
  <c r="O42" i="12" s="1"/>
  <c r="P36" i="12"/>
  <c r="O36" i="12"/>
  <c r="P35" i="12"/>
  <c r="O35" i="12"/>
  <c r="M34" i="12"/>
  <c r="P34" i="12" s="1"/>
  <c r="M33" i="12"/>
  <c r="P33" i="12" s="1"/>
  <c r="P32" i="12"/>
  <c r="M32" i="12"/>
  <c r="M31" i="12"/>
  <c r="M30" i="12"/>
  <c r="P30" i="12" s="1"/>
  <c r="N25" i="12"/>
  <c r="M25" i="12"/>
  <c r="P25" i="12" s="1"/>
  <c r="L25" i="12"/>
  <c r="O25" i="12" s="1"/>
  <c r="P24" i="12"/>
  <c r="N24" i="12"/>
  <c r="M24" i="12"/>
  <c r="M14" i="12" s="1"/>
  <c r="P14" i="12" s="1"/>
  <c r="N23" i="12"/>
  <c r="M23" i="12"/>
  <c r="N21" i="12"/>
  <c r="N19" i="12" s="1"/>
  <c r="M21" i="12"/>
  <c r="P21" i="12" s="1"/>
  <c r="L21" i="12"/>
  <c r="N15" i="12"/>
  <c r="M15" i="12"/>
  <c r="P15" i="12" s="1"/>
  <c r="L15" i="12"/>
  <c r="O15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N330" i="11"/>
  <c r="M330" i="11"/>
  <c r="P330" i="11" s="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M312" i="11" s="1"/>
  <c r="O313" i="11"/>
  <c r="N311" i="11"/>
  <c r="M311" i="11"/>
  <c r="P311" i="11" s="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N291" i="11"/>
  <c r="M291" i="11"/>
  <c r="P291" i="11" s="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N272" i="11"/>
  <c r="M272" i="11"/>
  <c r="P272" i="11" s="1"/>
  <c r="L272" i="11"/>
  <c r="O272" i="11" s="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N251" i="11"/>
  <c r="M251" i="11"/>
  <c r="P251" i="11" s="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O221" i="11"/>
  <c r="N221" i="11"/>
  <c r="M221" i="11"/>
  <c r="P221" i="11" s="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N119" i="11"/>
  <c r="M119" i="11"/>
  <c r="L119" i="11"/>
  <c r="O119" i="11" s="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N95" i="11"/>
  <c r="M95" i="11"/>
  <c r="P95" i="11" s="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P54" i="11"/>
  <c r="N54" i="11"/>
  <c r="M54" i="11"/>
  <c r="L54" i="11"/>
  <c r="N49" i="11"/>
  <c r="L49" i="11"/>
  <c r="L47" i="11"/>
  <c r="L46" i="11"/>
  <c r="N45" i="11"/>
  <c r="M45" i="11"/>
  <c r="M43" i="11" s="1"/>
  <c r="N42" i="11"/>
  <c r="M42" i="11"/>
  <c r="L42" i="11"/>
  <c r="O42" i="11" s="1"/>
  <c r="P36" i="11"/>
  <c r="O36" i="11"/>
  <c r="P35" i="11"/>
  <c r="O35" i="11"/>
  <c r="M34" i="11"/>
  <c r="P34" i="11" s="1"/>
  <c r="M33" i="11"/>
  <c r="P33" i="11" s="1"/>
  <c r="M32" i="11"/>
  <c r="M30" i="11" s="1"/>
  <c r="M31" i="11"/>
  <c r="M29" i="11" s="1"/>
  <c r="P29" i="11" s="1"/>
  <c r="P30" i="11"/>
  <c r="P25" i="11"/>
  <c r="N25" i="11"/>
  <c r="M25" i="11"/>
  <c r="L25" i="11"/>
  <c r="N24" i="11"/>
  <c r="M24" i="11"/>
  <c r="N23" i="11"/>
  <c r="M23" i="11"/>
  <c r="P23" i="11" s="1"/>
  <c r="N21" i="11"/>
  <c r="M21" i="11"/>
  <c r="L21" i="11"/>
  <c r="N15" i="11"/>
  <c r="M15" i="11"/>
  <c r="P15" i="11" s="1"/>
  <c r="J677" i="10"/>
  <c r="J676" i="10"/>
  <c r="J675" i="10"/>
  <c r="J674" i="10"/>
  <c r="J673" i="10"/>
  <c r="J672" i="10"/>
  <c r="N671" i="10"/>
  <c r="L671" i="10"/>
  <c r="I671" i="10"/>
  <c r="J670" i="10"/>
  <c r="J669" i="10"/>
  <c r="N668" i="10"/>
  <c r="L668" i="10"/>
  <c r="J668" i="10"/>
  <c r="I668" i="10"/>
  <c r="J667" i="10"/>
  <c r="J666" i="10"/>
  <c r="N665" i="10"/>
  <c r="L665" i="10"/>
  <c r="J665" i="10"/>
  <c r="I665" i="10"/>
  <c r="J663" i="10"/>
  <c r="I663" i="10"/>
  <c r="J662" i="10"/>
  <c r="N661" i="10"/>
  <c r="L661" i="10"/>
  <c r="J661" i="10"/>
  <c r="J660" i="10"/>
  <c r="J659" i="10"/>
  <c r="J658" i="10"/>
  <c r="J657" i="10"/>
  <c r="J656" i="10"/>
  <c r="J655" i="10"/>
  <c r="J653" i="10"/>
  <c r="J652" i="10"/>
  <c r="N651" i="10"/>
  <c r="L651" i="10"/>
  <c r="I651" i="10"/>
  <c r="N650" i="10"/>
  <c r="L650" i="10"/>
  <c r="J650" i="10"/>
  <c r="I650" i="10"/>
  <c r="N649" i="10"/>
  <c r="L649" i="10"/>
  <c r="J649" i="10"/>
  <c r="I649" i="10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N352" i="10"/>
  <c r="L352" i="10"/>
  <c r="N351" i="10"/>
  <c r="L351" i="10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M331" i="10" s="1"/>
  <c r="M329" i="10" s="1"/>
  <c r="O332" i="10"/>
  <c r="P330" i="10"/>
  <c r="O330" i="10"/>
  <c r="N330" i="10"/>
  <c r="M330" i="10"/>
  <c r="L330" i="10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P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N272" i="10"/>
  <c r="M272" i="10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P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P221" i="10"/>
  <c r="N221" i="10"/>
  <c r="M221" i="10"/>
  <c r="L221" i="10"/>
  <c r="O221" i="10" s="1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M140" i="10" s="1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L100" i="10"/>
  <c r="L99" i="10"/>
  <c r="N98" i="10"/>
  <c r="M98" i="10"/>
  <c r="P98" i="10" s="1"/>
  <c r="O97" i="10"/>
  <c r="N95" i="10"/>
  <c r="M95" i="10"/>
  <c r="P95" i="10" s="1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O69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N54" i="10"/>
  <c r="M54" i="10"/>
  <c r="P54" i="10" s="1"/>
  <c r="L54" i="10"/>
  <c r="O54" i="10" s="1"/>
  <c r="N49" i="10"/>
  <c r="L49" i="10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P34" i="10"/>
  <c r="M34" i="10"/>
  <c r="P33" i="10"/>
  <c r="M33" i="10"/>
  <c r="P32" i="10"/>
  <c r="M32" i="10"/>
  <c r="M31" i="10"/>
  <c r="P31" i="10" s="1"/>
  <c r="M30" i="10"/>
  <c r="P30" i="10" s="1"/>
  <c r="P25" i="10"/>
  <c r="O25" i="10"/>
  <c r="N25" i="10"/>
  <c r="N15" i="10" s="1"/>
  <c r="M25" i="10"/>
  <c r="M15" i="10" s="1"/>
  <c r="P15" i="10" s="1"/>
  <c r="L25" i="10"/>
  <c r="N24" i="10"/>
  <c r="M24" i="10"/>
  <c r="N23" i="10"/>
  <c r="M23" i="10"/>
  <c r="N21" i="10"/>
  <c r="M21" i="10"/>
  <c r="M19" i="10" s="1"/>
  <c r="L21" i="10"/>
  <c r="P19" i="10"/>
  <c r="N19" i="10"/>
  <c r="L15" i="10"/>
  <c r="O15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O383" i="9" s="1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K370" i="9" s="1"/>
  <c r="J369" i="9"/>
  <c r="I369" i="9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M337" i="9" s="1"/>
  <c r="M26" i="9" s="1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N311" i="9"/>
  <c r="M311" i="9"/>
  <c r="P311" i="9" s="1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N291" i="9"/>
  <c r="M291" i="9"/>
  <c r="P291" i="9" s="1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P272" i="9" s="1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N221" i="9"/>
  <c r="M221" i="9"/>
  <c r="L221" i="9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L146" i="9"/>
  <c r="L145" i="9"/>
  <c r="N144" i="9"/>
  <c r="M144" i="9"/>
  <c r="O143" i="9"/>
  <c r="P141" i="9"/>
  <c r="O141" i="9"/>
  <c r="N141" i="9"/>
  <c r="M141" i="9"/>
  <c r="L141" i="9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P119" i="9"/>
  <c r="N119" i="9"/>
  <c r="M119" i="9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L100" i="9"/>
  <c r="L99" i="9"/>
  <c r="N98" i="9"/>
  <c r="M98" i="9"/>
  <c r="M96" i="9" s="1"/>
  <c r="O97" i="9"/>
  <c r="O95" i="9"/>
  <c r="N95" i="9"/>
  <c r="M95" i="9"/>
  <c r="P95" i="9" s="1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M66" i="9" s="1"/>
  <c r="O69" i="9"/>
  <c r="N67" i="9"/>
  <c r="M67" i="9"/>
  <c r="P67" i="9" s="1"/>
  <c r="L67" i="9"/>
  <c r="O67" i="9" s="1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M53" i="9" s="1"/>
  <c r="N54" i="9"/>
  <c r="M54" i="9"/>
  <c r="P54" i="9" s="1"/>
  <c r="L54" i="9"/>
  <c r="O54" i="9" s="1"/>
  <c r="N49" i="9"/>
  <c r="L49" i="9"/>
  <c r="O49" i="9" s="1"/>
  <c r="L47" i="9"/>
  <c r="L46" i="9"/>
  <c r="N45" i="9"/>
  <c r="M45" i="9"/>
  <c r="M43" i="9" s="1"/>
  <c r="N42" i="9"/>
  <c r="M42" i="9"/>
  <c r="P42" i="9" s="1"/>
  <c r="L42" i="9"/>
  <c r="P36" i="9"/>
  <c r="O36" i="9"/>
  <c r="P35" i="9"/>
  <c r="O35" i="9"/>
  <c r="M34" i="9"/>
  <c r="P34" i="9" s="1"/>
  <c r="M33" i="9"/>
  <c r="M32" i="9"/>
  <c r="P32" i="9" s="1"/>
  <c r="M31" i="9"/>
  <c r="P31" i="9" s="1"/>
  <c r="M29" i="9"/>
  <c r="N25" i="9"/>
  <c r="M25" i="9"/>
  <c r="P25" i="9" s="1"/>
  <c r="L25" i="9"/>
  <c r="O25" i="9" s="1"/>
  <c r="N24" i="9"/>
  <c r="M24" i="9"/>
  <c r="P23" i="9"/>
  <c r="N23" i="9"/>
  <c r="M23" i="9"/>
  <c r="N21" i="9"/>
  <c r="M21" i="9"/>
  <c r="L21" i="9"/>
  <c r="O21" i="9" s="1"/>
  <c r="L19" i="9"/>
  <c r="O19" i="9" s="1"/>
  <c r="N15" i="9"/>
  <c r="J677" i="8"/>
  <c r="J676" i="8"/>
  <c r="J675" i="8"/>
  <c r="J674" i="8"/>
  <c r="J673" i="8"/>
  <c r="J672" i="8"/>
  <c r="N671" i="8"/>
  <c r="L671" i="8"/>
  <c r="I671" i="8"/>
  <c r="J670" i="8"/>
  <c r="J669" i="8"/>
  <c r="N668" i="8"/>
  <c r="L668" i="8"/>
  <c r="J668" i="8"/>
  <c r="I668" i="8"/>
  <c r="J667" i="8"/>
  <c r="J666" i="8"/>
  <c r="N665" i="8"/>
  <c r="L665" i="8"/>
  <c r="J665" i="8"/>
  <c r="I665" i="8"/>
  <c r="J663" i="8"/>
  <c r="I663" i="8"/>
  <c r="J662" i="8"/>
  <c r="N661" i="8"/>
  <c r="L661" i="8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K430" i="8" s="1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O401" i="8" s="1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L335" i="8"/>
  <c r="L334" i="8"/>
  <c r="N333" i="8"/>
  <c r="M333" i="8"/>
  <c r="O332" i="8"/>
  <c r="N330" i="8"/>
  <c r="M330" i="8"/>
  <c r="P330" i="8" s="1"/>
  <c r="L330" i="8"/>
  <c r="O330" i="8" s="1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L296" i="8"/>
  <c r="L295" i="8"/>
  <c r="N294" i="8"/>
  <c r="M294" i="8"/>
  <c r="O293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P254" i="8" s="1"/>
  <c r="O253" i="8"/>
  <c r="O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L226" i="8"/>
  <c r="L225" i="8"/>
  <c r="N224" i="8"/>
  <c r="M224" i="8"/>
  <c r="M222" i="8" s="1"/>
  <c r="O223" i="8"/>
  <c r="N221" i="8"/>
  <c r="M221" i="8"/>
  <c r="P221" i="8" s="1"/>
  <c r="L221" i="8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N141" i="8"/>
  <c r="M141" i="8"/>
  <c r="P141" i="8" s="1"/>
  <c r="L141" i="8"/>
  <c r="O141" i="8" s="1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P122" i="8" s="1"/>
  <c r="O121" i="8"/>
  <c r="N119" i="8"/>
  <c r="M119" i="8"/>
  <c r="P119" i="8" s="1"/>
  <c r="L119" i="8"/>
  <c r="O119" i="8" s="1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M96" i="8" s="1"/>
  <c r="O97" i="8"/>
  <c r="N95" i="8"/>
  <c r="M95" i="8"/>
  <c r="P95" i="8" s="1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N67" i="8"/>
  <c r="M67" i="8"/>
  <c r="P67" i="8" s="1"/>
  <c r="L67" i="8"/>
  <c r="O67" i="8" s="1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N54" i="8"/>
  <c r="M54" i="8"/>
  <c r="P54" i="8" s="1"/>
  <c r="L54" i="8"/>
  <c r="O54" i="8" s="1"/>
  <c r="N49" i="8"/>
  <c r="L49" i="8"/>
  <c r="O49" i="8" s="1"/>
  <c r="L47" i="8"/>
  <c r="L46" i="8"/>
  <c r="N45" i="8"/>
  <c r="M45" i="8"/>
  <c r="P42" i="8"/>
  <c r="N42" i="8"/>
  <c r="M42" i="8"/>
  <c r="L42" i="8"/>
  <c r="O42" i="8" s="1"/>
  <c r="P36" i="8"/>
  <c r="O36" i="8"/>
  <c r="P35" i="8"/>
  <c r="O35" i="8"/>
  <c r="M34" i="8"/>
  <c r="M33" i="8"/>
  <c r="P33" i="8" s="1"/>
  <c r="M32" i="8"/>
  <c r="P32" i="8" s="1"/>
  <c r="M31" i="8"/>
  <c r="M29" i="8" s="1"/>
  <c r="M30" i="8"/>
  <c r="P30" i="8" s="1"/>
  <c r="N25" i="8"/>
  <c r="N15" i="8" s="1"/>
  <c r="M25" i="8"/>
  <c r="P25" i="8" s="1"/>
  <c r="L25" i="8"/>
  <c r="O25" i="8" s="1"/>
  <c r="N24" i="8"/>
  <c r="M24" i="8"/>
  <c r="P24" i="8" s="1"/>
  <c r="N23" i="8"/>
  <c r="M23" i="8"/>
  <c r="N21" i="8"/>
  <c r="M21" i="8"/>
  <c r="L21" i="8"/>
  <c r="O21" i="8" s="1"/>
  <c r="L19" i="8"/>
  <c r="O19" i="8" s="1"/>
  <c r="M15" i="8"/>
  <c r="P15" i="8" s="1"/>
  <c r="L15" i="8"/>
  <c r="O15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K369" i="7" s="1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O354" i="7" s="1"/>
  <c r="N353" i="7"/>
  <c r="L353" i="7"/>
  <c r="O353" i="7" s="1"/>
  <c r="N352" i="7"/>
  <c r="L352" i="7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M331" i="7" s="1"/>
  <c r="O332" i="7"/>
  <c r="N330" i="7"/>
  <c r="M330" i="7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O311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N291" i="7"/>
  <c r="M291" i="7"/>
  <c r="P291" i="7" s="1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N272" i="7"/>
  <c r="M272" i="7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N251" i="7"/>
  <c r="M251" i="7"/>
  <c r="P251" i="7" s="1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N221" i="7"/>
  <c r="M221" i="7"/>
  <c r="P221" i="7" s="1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P98" i="7" s="1"/>
  <c r="O97" i="7"/>
  <c r="N95" i="7"/>
  <c r="M95" i="7"/>
  <c r="P95" i="7" s="1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N67" i="7"/>
  <c r="M67" i="7"/>
  <c r="P67" i="7" s="1"/>
  <c r="L67" i="7"/>
  <c r="O67" i="7" s="1"/>
  <c r="J65" i="7"/>
  <c r="I65" i="7"/>
  <c r="K65" i="7" s="1"/>
  <c r="J64" i="7"/>
  <c r="I64" i="7"/>
  <c r="K64" i="7" s="1"/>
  <c r="N61" i="7"/>
  <c r="L61" i="7"/>
  <c r="L59" i="7"/>
  <c r="L58" i="7"/>
  <c r="N57" i="7"/>
  <c r="M57" i="7"/>
  <c r="M55" i="7" s="1"/>
  <c r="N54" i="7"/>
  <c r="M54" i="7"/>
  <c r="P54" i="7" s="1"/>
  <c r="L54" i="7"/>
  <c r="N49" i="7"/>
  <c r="L49" i="7"/>
  <c r="L47" i="7"/>
  <c r="L46" i="7"/>
  <c r="N45" i="7"/>
  <c r="M45" i="7"/>
  <c r="P42" i="7"/>
  <c r="N42" i="7"/>
  <c r="M42" i="7"/>
  <c r="L42" i="7"/>
  <c r="O42" i="7" s="1"/>
  <c r="P36" i="7"/>
  <c r="O36" i="7"/>
  <c r="P35" i="7"/>
  <c r="O35" i="7"/>
  <c r="M34" i="7"/>
  <c r="P34" i="7" s="1"/>
  <c r="M33" i="7"/>
  <c r="P33" i="7" s="1"/>
  <c r="M32" i="7"/>
  <c r="M31" i="7"/>
  <c r="O25" i="7"/>
  <c r="N25" i="7"/>
  <c r="N15" i="7" s="1"/>
  <c r="M25" i="7"/>
  <c r="L25" i="7"/>
  <c r="N24" i="7"/>
  <c r="M24" i="7"/>
  <c r="N23" i="7"/>
  <c r="M23" i="7"/>
  <c r="P23" i="7" s="1"/>
  <c r="P21" i="7"/>
  <c r="N21" i="7"/>
  <c r="M21" i="7"/>
  <c r="M11" i="7" s="1"/>
  <c r="L21" i="7"/>
  <c r="O21" i="7" s="1"/>
  <c r="L15" i="7"/>
  <c r="O15" i="7" s="1"/>
  <c r="J677" i="6"/>
  <c r="J676" i="6"/>
  <c r="J675" i="6"/>
  <c r="J674" i="6"/>
  <c r="J673" i="6"/>
  <c r="J672" i="6"/>
  <c r="N671" i="6"/>
  <c r="L671" i="6"/>
  <c r="I671" i="6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J650" i="6"/>
  <c r="I650" i="6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P311" i="6"/>
  <c r="N311" i="6"/>
  <c r="M311" i="6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P291" i="6"/>
  <c r="N291" i="6"/>
  <c r="M291" i="6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N272" i="6"/>
  <c r="M272" i="6"/>
  <c r="P272" i="6" s="1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M250" i="6" s="1"/>
  <c r="O253" i="6"/>
  <c r="O251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J131" i="6"/>
  <c r="J130" i="6"/>
  <c r="J129" i="6"/>
  <c r="J128" i="6"/>
  <c r="N126" i="6"/>
  <c r="L126" i="6"/>
  <c r="L124" i="6"/>
  <c r="L123" i="6"/>
  <c r="N122" i="6"/>
  <c r="M122" i="6"/>
  <c r="P122" i="6" s="1"/>
  <c r="O121" i="6"/>
  <c r="N119" i="6"/>
  <c r="M119" i="6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N95" i="6"/>
  <c r="M95" i="6"/>
  <c r="P95" i="6" s="1"/>
  <c r="L95" i="6"/>
  <c r="J93" i="6"/>
  <c r="I93" i="6"/>
  <c r="K93" i="6" s="1"/>
  <c r="J92" i="6"/>
  <c r="I92" i="6"/>
  <c r="K92" i="6" s="1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O69" i="6"/>
  <c r="N67" i="6"/>
  <c r="M67" i="6"/>
  <c r="P67" i="6" s="1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M55" i="6" s="1"/>
  <c r="N54" i="6"/>
  <c r="M54" i="6"/>
  <c r="P54" i="6" s="1"/>
  <c r="L54" i="6"/>
  <c r="N49" i="6"/>
  <c r="L49" i="6"/>
  <c r="O49" i="6" s="1"/>
  <c r="L47" i="6"/>
  <c r="L46" i="6"/>
  <c r="N45" i="6"/>
  <c r="M45" i="6"/>
  <c r="M43" i="6" s="1"/>
  <c r="N42" i="6"/>
  <c r="M42" i="6"/>
  <c r="L42" i="6"/>
  <c r="O42" i="6" s="1"/>
  <c r="P36" i="6"/>
  <c r="O36" i="6"/>
  <c r="P35" i="6"/>
  <c r="O35" i="6"/>
  <c r="M34" i="6"/>
  <c r="P34" i="6" s="1"/>
  <c r="M33" i="6"/>
  <c r="P33" i="6" s="1"/>
  <c r="M32" i="6"/>
  <c r="P32" i="6" s="1"/>
  <c r="M31" i="6"/>
  <c r="M29" i="6" s="1"/>
  <c r="M30" i="6"/>
  <c r="P30" i="6" s="1"/>
  <c r="N25" i="6"/>
  <c r="M25" i="6"/>
  <c r="P25" i="6" s="1"/>
  <c r="L25" i="6"/>
  <c r="N24" i="6"/>
  <c r="M24" i="6"/>
  <c r="P24" i="6" s="1"/>
  <c r="N23" i="6"/>
  <c r="M23" i="6"/>
  <c r="P23" i="6" s="1"/>
  <c r="N21" i="6"/>
  <c r="M21" i="6"/>
  <c r="L21" i="6"/>
  <c r="O21" i="6" s="1"/>
  <c r="N15" i="6"/>
  <c r="M15" i="6"/>
  <c r="P15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5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J511" i="5"/>
  <c r="I511" i="5"/>
  <c r="K511" i="5" s="1"/>
  <c r="J510" i="5"/>
  <c r="I510" i="5"/>
  <c r="K510" i="5" s="1"/>
  <c r="J509" i="5"/>
  <c r="I509" i="5"/>
  <c r="K509" i="5" s="1"/>
  <c r="J508" i="5"/>
  <c r="I508" i="5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P330" i="5" s="1"/>
  <c r="L330" i="5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N311" i="5"/>
  <c r="M311" i="5"/>
  <c r="P311" i="5" s="1"/>
  <c r="L311" i="5"/>
  <c r="O311" i="5" s="1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L296" i="5"/>
  <c r="L295" i="5"/>
  <c r="N294" i="5"/>
  <c r="M294" i="5"/>
  <c r="O293" i="5"/>
  <c r="N291" i="5"/>
  <c r="M291" i="5"/>
  <c r="L291" i="5"/>
  <c r="O291" i="5" s="1"/>
  <c r="J289" i="5"/>
  <c r="I289" i="5"/>
  <c r="J287" i="5"/>
  <c r="J286" i="5"/>
  <c r="J285" i="5"/>
  <c r="I285" i="5"/>
  <c r="J284" i="5"/>
  <c r="J283" i="5"/>
  <c r="J282" i="5"/>
  <c r="J281" i="5"/>
  <c r="N279" i="5"/>
  <c r="L279" i="5"/>
  <c r="L277" i="5"/>
  <c r="L276" i="5"/>
  <c r="N275" i="5"/>
  <c r="M275" i="5"/>
  <c r="O274" i="5"/>
  <c r="O272" i="5"/>
  <c r="N272" i="5"/>
  <c r="M272" i="5"/>
  <c r="P272" i="5" s="1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N251" i="5"/>
  <c r="M251" i="5"/>
  <c r="P251" i="5" s="1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L226" i="5"/>
  <c r="L225" i="5"/>
  <c r="N224" i="5"/>
  <c r="M224" i="5"/>
  <c r="P224" i="5" s="1"/>
  <c r="O223" i="5"/>
  <c r="N221" i="5"/>
  <c r="M221" i="5"/>
  <c r="L221" i="5"/>
  <c r="O221" i="5" s="1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N141" i="5"/>
  <c r="M141" i="5"/>
  <c r="P141" i="5" s="1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N119" i="5"/>
  <c r="M119" i="5"/>
  <c r="P119" i="5" s="1"/>
  <c r="L119" i="5"/>
  <c r="O119" i="5" s="1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P95" i="5" s="1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N67" i="5"/>
  <c r="M67" i="5"/>
  <c r="P67" i="5" s="1"/>
  <c r="L67" i="5"/>
  <c r="O67" i="5" s="1"/>
  <c r="J65" i="5"/>
  <c r="I65" i="5"/>
  <c r="K65" i="5" s="1"/>
  <c r="J64" i="5"/>
  <c r="I64" i="5"/>
  <c r="K64" i="5" s="1"/>
  <c r="N61" i="5"/>
  <c r="L61" i="5"/>
  <c r="L59" i="5"/>
  <c r="L58" i="5"/>
  <c r="N57" i="5"/>
  <c r="M57" i="5"/>
  <c r="M55" i="5" s="1"/>
  <c r="N54" i="5"/>
  <c r="M54" i="5"/>
  <c r="P54" i="5" s="1"/>
  <c r="L54" i="5"/>
  <c r="N49" i="5"/>
  <c r="L49" i="5"/>
  <c r="M49" i="5" s="1"/>
  <c r="L47" i="5"/>
  <c r="L46" i="5"/>
  <c r="N45" i="5"/>
  <c r="M45" i="5"/>
  <c r="O42" i="5"/>
  <c r="N42" i="5"/>
  <c r="M42" i="5"/>
  <c r="P42" i="5" s="1"/>
  <c r="L42" i="5"/>
  <c r="P36" i="5"/>
  <c r="O36" i="5"/>
  <c r="P35" i="5"/>
  <c r="O35" i="5"/>
  <c r="P34" i="5"/>
  <c r="M34" i="5"/>
  <c r="M33" i="5"/>
  <c r="P33" i="5" s="1"/>
  <c r="M32" i="5"/>
  <c r="M31" i="5"/>
  <c r="N25" i="5"/>
  <c r="M25" i="5"/>
  <c r="L25" i="5"/>
  <c r="O25" i="5" s="1"/>
  <c r="N24" i="5"/>
  <c r="M24" i="5"/>
  <c r="N23" i="5"/>
  <c r="M23" i="5"/>
  <c r="P23" i="5" s="1"/>
  <c r="N21" i="5"/>
  <c r="M21" i="5"/>
  <c r="P21" i="5" s="1"/>
  <c r="L21" i="5"/>
  <c r="O21" i="5" s="1"/>
  <c r="J677" i="4"/>
  <c r="J676" i="4"/>
  <c r="J675" i="4"/>
  <c r="J674" i="4"/>
  <c r="J673" i="4"/>
  <c r="J672" i="4"/>
  <c r="N671" i="4"/>
  <c r="L671" i="4"/>
  <c r="I671" i="4"/>
  <c r="J670" i="4"/>
  <c r="J669" i="4"/>
  <c r="N668" i="4"/>
  <c r="L668" i="4"/>
  <c r="J668" i="4"/>
  <c r="I668" i="4"/>
  <c r="J667" i="4"/>
  <c r="J666" i="4"/>
  <c r="N665" i="4"/>
  <c r="L665" i="4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L651" i="4"/>
  <c r="O651" i="4" s="1"/>
  <c r="I651" i="4"/>
  <c r="N650" i="4"/>
  <c r="L650" i="4"/>
  <c r="J650" i="4"/>
  <c r="I650" i="4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O311" i="4"/>
  <c r="N311" i="4"/>
  <c r="M311" i="4"/>
  <c r="P311" i="4" s="1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P291" i="4" s="1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O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O251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N221" i="4"/>
  <c r="M221" i="4"/>
  <c r="P221" i="4" s="1"/>
  <c r="L221" i="4"/>
  <c r="O221" i="4" s="1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L146" i="4"/>
  <c r="L145" i="4"/>
  <c r="N144" i="4"/>
  <c r="M144" i="4"/>
  <c r="O143" i="4"/>
  <c r="N141" i="4"/>
  <c r="M141" i="4"/>
  <c r="L141" i="4"/>
  <c r="O141" i="4" s="1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P119" i="4"/>
  <c r="N119" i="4"/>
  <c r="M119" i="4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N95" i="4"/>
  <c r="M95" i="4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L72" i="4"/>
  <c r="L71" i="4"/>
  <c r="N70" i="4"/>
  <c r="M70" i="4"/>
  <c r="O69" i="4"/>
  <c r="P67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N54" i="4"/>
  <c r="M54" i="4"/>
  <c r="L54" i="4"/>
  <c r="O54" i="4" s="1"/>
  <c r="N49" i="4"/>
  <c r="L49" i="4"/>
  <c r="L47" i="4"/>
  <c r="L46" i="4"/>
  <c r="N45" i="4"/>
  <c r="M45" i="4"/>
  <c r="O42" i="4"/>
  <c r="N42" i="4"/>
  <c r="M42" i="4"/>
  <c r="P42" i="4" s="1"/>
  <c r="L42" i="4"/>
  <c r="P36" i="4"/>
  <c r="O36" i="4"/>
  <c r="P35" i="4"/>
  <c r="O35" i="4"/>
  <c r="P34" i="4"/>
  <c r="M34" i="4"/>
  <c r="M33" i="4"/>
  <c r="P33" i="4" s="1"/>
  <c r="M32" i="4"/>
  <c r="M31" i="4"/>
  <c r="O25" i="4"/>
  <c r="N25" i="4"/>
  <c r="M25" i="4"/>
  <c r="P25" i="4" s="1"/>
  <c r="L25" i="4"/>
  <c r="N24" i="4"/>
  <c r="M24" i="4"/>
  <c r="N23" i="4"/>
  <c r="M23" i="4"/>
  <c r="P21" i="4"/>
  <c r="N21" i="4"/>
  <c r="M21" i="4"/>
  <c r="M19" i="4" s="1"/>
  <c r="P19" i="4" s="1"/>
  <c r="L21" i="4"/>
  <c r="O21" i="4" s="1"/>
  <c r="M15" i="4"/>
  <c r="P15" i="4" s="1"/>
  <c r="L15" i="4"/>
  <c r="O15" i="4" s="1"/>
  <c r="J677" i="3"/>
  <c r="J676" i="3"/>
  <c r="J675" i="3"/>
  <c r="J674" i="3"/>
  <c r="J673" i="3"/>
  <c r="J672" i="3"/>
  <c r="N671" i="3"/>
  <c r="L671" i="3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O352" i="3" s="1"/>
  <c r="N351" i="3"/>
  <c r="L351" i="3"/>
  <c r="O351" i="3" s="1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N291" i="3"/>
  <c r="M291" i="3"/>
  <c r="P291" i="3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O272" i="3"/>
  <c r="N272" i="3"/>
  <c r="M272" i="3"/>
  <c r="P272" i="3" s="1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M250" i="3" s="1"/>
  <c r="O253" i="3"/>
  <c r="O251" i="3"/>
  <c r="N251" i="3"/>
  <c r="M251" i="3"/>
  <c r="P251" i="3" s="1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L226" i="3"/>
  <c r="L225" i="3"/>
  <c r="N224" i="3"/>
  <c r="M224" i="3"/>
  <c r="M222" i="3" s="1"/>
  <c r="M220" i="3" s="1"/>
  <c r="O223" i="3"/>
  <c r="N221" i="3"/>
  <c r="M221" i="3"/>
  <c r="P221" i="3" s="1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L146" i="3"/>
  <c r="L145" i="3"/>
  <c r="N144" i="3"/>
  <c r="M144" i="3"/>
  <c r="O143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N119" i="3"/>
  <c r="M119" i="3"/>
  <c r="P119" i="3" s="1"/>
  <c r="L119" i="3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P98" i="3" s="1"/>
  <c r="O97" i="3"/>
  <c r="O95" i="3"/>
  <c r="N95" i="3"/>
  <c r="M95" i="3"/>
  <c r="P95" i="3" s="1"/>
  <c r="L95" i="3"/>
  <c r="J93" i="3"/>
  <c r="I93" i="3"/>
  <c r="J92" i="3"/>
  <c r="I92" i="3"/>
  <c r="K92" i="3" s="1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P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N54" i="3"/>
  <c r="M54" i="3"/>
  <c r="L54" i="3"/>
  <c r="O54" i="3" s="1"/>
  <c r="N49" i="3"/>
  <c r="L49" i="3"/>
  <c r="O49" i="3" s="1"/>
  <c r="L47" i="3"/>
  <c r="L46" i="3"/>
  <c r="N45" i="3"/>
  <c r="M45" i="3"/>
  <c r="M43" i="3" s="1"/>
  <c r="N42" i="3"/>
  <c r="M42" i="3"/>
  <c r="P42" i="3" s="1"/>
  <c r="L42" i="3"/>
  <c r="O42" i="3" s="1"/>
  <c r="P36" i="3"/>
  <c r="O36" i="3"/>
  <c r="P35" i="3"/>
  <c r="O35" i="3"/>
  <c r="M34" i="3"/>
  <c r="P34" i="3" s="1"/>
  <c r="M33" i="3"/>
  <c r="P33" i="3" s="1"/>
  <c r="M32" i="3"/>
  <c r="M31" i="3"/>
  <c r="M29" i="3" s="1"/>
  <c r="N25" i="3"/>
  <c r="M25" i="3"/>
  <c r="L25" i="3"/>
  <c r="P24" i="3"/>
  <c r="N24" i="3"/>
  <c r="M24" i="3"/>
  <c r="N23" i="3"/>
  <c r="M23" i="3"/>
  <c r="P23" i="3" s="1"/>
  <c r="N21" i="3"/>
  <c r="M21" i="3"/>
  <c r="P21" i="3" s="1"/>
  <c r="L21" i="3"/>
  <c r="O21" i="3" s="1"/>
  <c r="N15" i="3"/>
  <c r="M13" i="3"/>
  <c r="P13" i="3" s="1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J668" i="2"/>
  <c r="I668" i="2"/>
  <c r="J667" i="2"/>
  <c r="J666" i="2"/>
  <c r="N665" i="2"/>
  <c r="L665" i="2"/>
  <c r="O665" i="2" s="1"/>
  <c r="J665" i="2"/>
  <c r="I665" i="2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I651" i="2"/>
  <c r="K651" i="2" s="1"/>
  <c r="N650" i="2"/>
  <c r="L650" i="2"/>
  <c r="J650" i="2"/>
  <c r="I650" i="2"/>
  <c r="K650" i="2" s="1"/>
  <c r="N649" i="2"/>
  <c r="L649" i="2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N582" i="2"/>
  <c r="L582" i="2"/>
  <c r="O582" i="2" s="1"/>
  <c r="N581" i="2"/>
  <c r="L581" i="2"/>
  <c r="N580" i="2"/>
  <c r="L580" i="2"/>
  <c r="O580" i="2" s="1"/>
  <c r="J580" i="2"/>
  <c r="I580" i="2"/>
  <c r="J579" i="2"/>
  <c r="I579" i="2"/>
  <c r="K579" i="2" s="1"/>
  <c r="J578" i="2"/>
  <c r="I578" i="2"/>
  <c r="J577" i="2"/>
  <c r="I577" i="2"/>
  <c r="K577" i="2" s="1"/>
  <c r="J576" i="2"/>
  <c r="I576" i="2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J512" i="2"/>
  <c r="I512" i="2"/>
  <c r="K512" i="2" s="1"/>
  <c r="J511" i="2"/>
  <c r="I511" i="2"/>
  <c r="J510" i="2"/>
  <c r="I510" i="2"/>
  <c r="K510" i="2" s="1"/>
  <c r="J509" i="2"/>
  <c r="I509" i="2"/>
  <c r="J508" i="2"/>
  <c r="I508" i="2"/>
  <c r="K508" i="2" s="1"/>
  <c r="J507" i="2"/>
  <c r="I507" i="2"/>
  <c r="J506" i="2"/>
  <c r="I506" i="2"/>
  <c r="K506" i="2" s="1"/>
  <c r="J505" i="2"/>
  <c r="I505" i="2"/>
  <c r="J504" i="2"/>
  <c r="I504" i="2"/>
  <c r="K504" i="2" s="1"/>
  <c r="J503" i="2"/>
  <c r="I503" i="2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K494" i="2" s="1"/>
  <c r="J493" i="2"/>
  <c r="I493" i="2"/>
  <c r="J492" i="2"/>
  <c r="I492" i="2"/>
  <c r="K492" i="2" s="1"/>
  <c r="J491" i="2"/>
  <c r="I491" i="2"/>
  <c r="J490" i="2"/>
  <c r="I490" i="2"/>
  <c r="K490" i="2" s="1"/>
  <c r="J489" i="2"/>
  <c r="I489" i="2"/>
  <c r="J488" i="2"/>
  <c r="I488" i="2"/>
  <c r="K488" i="2" s="1"/>
  <c r="J487" i="2"/>
  <c r="I487" i="2"/>
  <c r="J486" i="2"/>
  <c r="I486" i="2"/>
  <c r="K486" i="2" s="1"/>
  <c r="J485" i="2"/>
  <c r="I485" i="2"/>
  <c r="J484" i="2"/>
  <c r="I484" i="2"/>
  <c r="K484" i="2" s="1"/>
  <c r="J483" i="2"/>
  <c r="I483" i="2"/>
  <c r="J482" i="2"/>
  <c r="I482" i="2"/>
  <c r="J481" i="2"/>
  <c r="I481" i="2"/>
  <c r="J480" i="2"/>
  <c r="I480" i="2"/>
  <c r="K480" i="2" s="1"/>
  <c r="J479" i="2"/>
  <c r="I479" i="2"/>
  <c r="J478" i="2"/>
  <c r="I478" i="2"/>
  <c r="K478" i="2" s="1"/>
  <c r="J477" i="2"/>
  <c r="I477" i="2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J470" i="2"/>
  <c r="I470" i="2"/>
  <c r="K470" i="2" s="1"/>
  <c r="J469" i="2"/>
  <c r="I469" i="2"/>
  <c r="J468" i="2"/>
  <c r="I468" i="2"/>
  <c r="K468" i="2" s="1"/>
  <c r="J467" i="2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J376" i="2"/>
  <c r="I376" i="2"/>
  <c r="J375" i="2"/>
  <c r="I375" i="2"/>
  <c r="J374" i="2"/>
  <c r="I374" i="2"/>
  <c r="J373" i="2"/>
  <c r="I373" i="2"/>
  <c r="J372" i="2"/>
  <c r="I372" i="2"/>
  <c r="J371" i="2"/>
  <c r="I371" i="2"/>
  <c r="J370" i="2"/>
  <c r="I370" i="2"/>
  <c r="J369" i="2"/>
  <c r="I369" i="2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N352" i="2"/>
  <c r="L352" i="2"/>
  <c r="N351" i="2"/>
  <c r="L351" i="2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N337" i="2"/>
  <c r="L337" i="2"/>
  <c r="O337" i="2" s="1"/>
  <c r="L335" i="2"/>
  <c r="L334" i="2"/>
  <c r="N333" i="2"/>
  <c r="M333" i="2"/>
  <c r="O332" i="2"/>
  <c r="P330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M312" i="2" s="1"/>
  <c r="O313" i="2"/>
  <c r="N311" i="2"/>
  <c r="M311" i="2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N291" i="2"/>
  <c r="M291" i="2"/>
  <c r="L291" i="2"/>
  <c r="O291" i="2" s="1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P272" i="2"/>
  <c r="O272" i="2"/>
  <c r="N272" i="2"/>
  <c r="N272" i="1" s="1"/>
  <c r="M272" i="2"/>
  <c r="L272" i="2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O251" i="2"/>
  <c r="N251" i="2"/>
  <c r="M251" i="2"/>
  <c r="P251" i="2" s="1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M222" i="2" s="1"/>
  <c r="M220" i="2" s="1"/>
  <c r="O223" i="2"/>
  <c r="N221" i="2"/>
  <c r="M221" i="2"/>
  <c r="L221" i="2"/>
  <c r="O221" i="2" s="1"/>
  <c r="J219" i="2"/>
  <c r="I219" i="2"/>
  <c r="J218" i="2"/>
  <c r="J217" i="2"/>
  <c r="J216" i="2"/>
  <c r="I216" i="2"/>
  <c r="J215" i="2"/>
  <c r="I215" i="2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L146" i="2"/>
  <c r="L145" i="2"/>
  <c r="N144" i="2"/>
  <c r="M144" i="2"/>
  <c r="M142" i="2" s="1"/>
  <c r="O143" i="2"/>
  <c r="N141" i="2"/>
  <c r="M141" i="2"/>
  <c r="L141" i="2"/>
  <c r="O141" i="2" s="1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L124" i="2"/>
  <c r="L123" i="2"/>
  <c r="N122" i="2"/>
  <c r="M122" i="2"/>
  <c r="O121" i="2"/>
  <c r="N119" i="2"/>
  <c r="M119" i="2"/>
  <c r="P119" i="2" s="1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M102" i="2" s="1"/>
  <c r="L100" i="2"/>
  <c r="L99" i="2"/>
  <c r="N98" i="2"/>
  <c r="M98" i="2"/>
  <c r="O97" i="2"/>
  <c r="N95" i="2"/>
  <c r="M95" i="2"/>
  <c r="L95" i="2"/>
  <c r="O95" i="2" s="1"/>
  <c r="J93" i="2"/>
  <c r="I93" i="2"/>
  <c r="J92" i="2"/>
  <c r="I92" i="2"/>
  <c r="J90" i="2"/>
  <c r="J89" i="2"/>
  <c r="J88" i="2"/>
  <c r="I88" i="2"/>
  <c r="K88" i="2" s="1"/>
  <c r="J87" i="2"/>
  <c r="I87" i="2"/>
  <c r="J86" i="2"/>
  <c r="I86" i="2"/>
  <c r="K86" i="2" s="1"/>
  <c r="J85" i="2"/>
  <c r="I85" i="2"/>
  <c r="K85" i="2" s="1"/>
  <c r="J84" i="2"/>
  <c r="I84" i="2"/>
  <c r="K84" i="2" s="1"/>
  <c r="J83" i="2"/>
  <c r="I83" i="2"/>
  <c r="J82" i="2"/>
  <c r="I82" i="2"/>
  <c r="K82" i="2" s="1"/>
  <c r="J81" i="2"/>
  <c r="I81" i="2"/>
  <c r="J80" i="2"/>
  <c r="I80" i="2"/>
  <c r="K80" i="2" s="1"/>
  <c r="J79" i="2"/>
  <c r="J78" i="2"/>
  <c r="J77" i="2"/>
  <c r="J76" i="2"/>
  <c r="N74" i="2"/>
  <c r="L74" i="2"/>
  <c r="L72" i="2"/>
  <c r="L71" i="2"/>
  <c r="N70" i="2"/>
  <c r="M70" i="2"/>
  <c r="O69" i="2"/>
  <c r="P67" i="2"/>
  <c r="N67" i="2"/>
  <c r="M67" i="2"/>
  <c r="L67" i="2"/>
  <c r="L67" i="1" s="1"/>
  <c r="O67" i="1" s="1"/>
  <c r="J65" i="2"/>
  <c r="I65" i="2"/>
  <c r="J64" i="2"/>
  <c r="I64" i="2"/>
  <c r="K64" i="2" s="1"/>
  <c r="N61" i="2"/>
  <c r="L61" i="2"/>
  <c r="L59" i="2"/>
  <c r="L58" i="2"/>
  <c r="N57" i="2"/>
  <c r="M57" i="2"/>
  <c r="M55" i="2" s="1"/>
  <c r="N54" i="2"/>
  <c r="M54" i="2"/>
  <c r="L54" i="2"/>
  <c r="O54" i="2" s="1"/>
  <c r="N49" i="2"/>
  <c r="L49" i="2"/>
  <c r="M49" i="2" s="1"/>
  <c r="L47" i="2"/>
  <c r="L46" i="2"/>
  <c r="N45" i="2"/>
  <c r="M45" i="2"/>
  <c r="P42" i="2"/>
  <c r="O42" i="2"/>
  <c r="N42" i="2"/>
  <c r="M42" i="2"/>
  <c r="L42" i="2"/>
  <c r="P36" i="2"/>
  <c r="O36" i="2"/>
  <c r="P35" i="2"/>
  <c r="O35" i="2"/>
  <c r="P34" i="2"/>
  <c r="M34" i="2"/>
  <c r="P33" i="2"/>
  <c r="M33" i="2"/>
  <c r="M32" i="2"/>
  <c r="P32" i="2" s="1"/>
  <c r="M31" i="2"/>
  <c r="M11" i="2" s="1"/>
  <c r="O25" i="2"/>
  <c r="N25" i="2"/>
  <c r="N15" i="2" s="1"/>
  <c r="M25" i="2"/>
  <c r="M19" i="2" s="1"/>
  <c r="L25" i="2"/>
  <c r="N24" i="2"/>
  <c r="M24" i="2"/>
  <c r="N23" i="2"/>
  <c r="M23" i="2"/>
  <c r="P21" i="2"/>
  <c r="O21" i="2"/>
  <c r="N21" i="2"/>
  <c r="M21" i="2"/>
  <c r="L21" i="2"/>
  <c r="L19" i="2"/>
  <c r="O19" i="2" s="1"/>
  <c r="L15" i="2"/>
  <c r="O15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M330" i="1"/>
  <c r="P330" i="1" s="1"/>
  <c r="L330" i="1"/>
  <c r="O330" i="1" s="1"/>
  <c r="L317" i="1"/>
  <c r="N313" i="1"/>
  <c r="M313" i="1"/>
  <c r="L313" i="1"/>
  <c r="O313" i="1" s="1"/>
  <c r="M311" i="1"/>
  <c r="P311" i="1" s="1"/>
  <c r="L311" i="1"/>
  <c r="O311" i="1" s="1"/>
  <c r="J307" i="1"/>
  <c r="L297" i="1"/>
  <c r="N293" i="1"/>
  <c r="M293" i="1"/>
  <c r="L293" i="1"/>
  <c r="O293" i="1" s="1"/>
  <c r="L291" i="1"/>
  <c r="O291" i="1" s="1"/>
  <c r="L278" i="1"/>
  <c r="N274" i="1"/>
  <c r="M274" i="1"/>
  <c r="L274" i="1"/>
  <c r="O274" i="1" s="1"/>
  <c r="M272" i="1"/>
  <c r="P272" i="1" s="1"/>
  <c r="L272" i="1"/>
  <c r="O272" i="1" s="1"/>
  <c r="L257" i="1"/>
  <c r="O253" i="1"/>
  <c r="N253" i="1"/>
  <c r="M253" i="1"/>
  <c r="L253" i="1"/>
  <c r="N251" i="1"/>
  <c r="M251" i="1"/>
  <c r="P251" i="1" s="1"/>
  <c r="L251" i="1"/>
  <c r="O251" i="1" s="1"/>
  <c r="J240" i="1"/>
  <c r="L227" i="1"/>
  <c r="N223" i="1"/>
  <c r="M223" i="1"/>
  <c r="L223" i="1"/>
  <c r="O223" i="1" s="1"/>
  <c r="L221" i="1"/>
  <c r="O221" i="1" s="1"/>
  <c r="J214" i="1"/>
  <c r="I214" i="1"/>
  <c r="J198" i="1"/>
  <c r="L147" i="1"/>
  <c r="N143" i="1"/>
  <c r="M143" i="1"/>
  <c r="L143" i="1"/>
  <c r="O143" i="1" s="1"/>
  <c r="L141" i="1"/>
  <c r="O141" i="1" s="1"/>
  <c r="L125" i="1"/>
  <c r="O121" i="1"/>
  <c r="N121" i="1"/>
  <c r="M121" i="1"/>
  <c r="L121" i="1"/>
  <c r="N119" i="1"/>
  <c r="L101" i="1"/>
  <c r="L25" i="1" s="1"/>
  <c r="O97" i="1"/>
  <c r="N97" i="1"/>
  <c r="M97" i="1"/>
  <c r="L97" i="1"/>
  <c r="N95" i="1"/>
  <c r="M95" i="1"/>
  <c r="P95" i="1" s="1"/>
  <c r="L95" i="1"/>
  <c r="O95" i="1" s="1"/>
  <c r="L73" i="1"/>
  <c r="O69" i="1"/>
  <c r="N69" i="1"/>
  <c r="M69" i="1"/>
  <c r="L69" i="1"/>
  <c r="N67" i="1"/>
  <c r="M67" i="1"/>
  <c r="P67" i="1" s="1"/>
  <c r="L60" i="1"/>
  <c r="L56" i="1"/>
  <c r="L54" i="1" s="1"/>
  <c r="O54" i="1" s="1"/>
  <c r="P54" i="1"/>
  <c r="N54" i="1"/>
  <c r="M54" i="1"/>
  <c r="L48" i="1"/>
  <c r="L44" i="1"/>
  <c r="N42" i="1"/>
  <c r="M42" i="1"/>
  <c r="P42" i="1" s="1"/>
  <c r="P36" i="1"/>
  <c r="O36" i="1"/>
  <c r="P35" i="1"/>
  <c r="O35" i="1"/>
  <c r="M34" i="1"/>
  <c r="P34" i="1" s="1"/>
  <c r="M33" i="1"/>
  <c r="P33" i="1" s="1"/>
  <c r="M32" i="1"/>
  <c r="P32" i="1" s="1"/>
  <c r="M31" i="1"/>
  <c r="M30" i="1"/>
  <c r="P30" i="1" s="1"/>
  <c r="N25" i="1"/>
  <c r="N15" i="1" s="1"/>
  <c r="M25" i="1"/>
  <c r="N24" i="1"/>
  <c r="M24" i="1"/>
  <c r="N23" i="1"/>
  <c r="M23" i="1"/>
  <c r="K429" i="16" l="1"/>
  <c r="K450" i="16"/>
  <c r="K564" i="18"/>
  <c r="K591" i="18"/>
  <c r="K595" i="18"/>
  <c r="K619" i="18"/>
  <c r="K628" i="18"/>
  <c r="J671" i="14"/>
  <c r="K671" i="14" s="1"/>
  <c r="K564" i="2"/>
  <c r="K418" i="18"/>
  <c r="K266" i="21"/>
  <c r="K186" i="4"/>
  <c r="K285" i="6"/>
  <c r="K465" i="11"/>
  <c r="K473" i="11"/>
  <c r="N120" i="3"/>
  <c r="N118" i="3" s="1"/>
  <c r="N312" i="3"/>
  <c r="N310" i="3" s="1"/>
  <c r="O599" i="18"/>
  <c r="N222" i="16"/>
  <c r="P222" i="16" s="1"/>
  <c r="J671" i="10"/>
  <c r="K671" i="10" s="1"/>
  <c r="L294" i="15"/>
  <c r="O294" i="15" s="1"/>
  <c r="K213" i="4"/>
  <c r="K219" i="4"/>
  <c r="L224" i="4"/>
  <c r="L222" i="4" s="1"/>
  <c r="L220" i="4" s="1"/>
  <c r="N252" i="16"/>
  <c r="N250" i="16" s="1"/>
  <c r="N68" i="13"/>
  <c r="P68" i="13" s="1"/>
  <c r="K648" i="16"/>
  <c r="O435" i="18"/>
  <c r="O439" i="18"/>
  <c r="K547" i="20"/>
  <c r="N273" i="18"/>
  <c r="P273" i="18" s="1"/>
  <c r="N292" i="18"/>
  <c r="N290" i="18" s="1"/>
  <c r="O597" i="10"/>
  <c r="O601" i="10"/>
  <c r="K547" i="18"/>
  <c r="K631" i="2"/>
  <c r="K564" i="3"/>
  <c r="K547" i="4"/>
  <c r="O580" i="4"/>
  <c r="O584" i="4"/>
  <c r="K426" i="14"/>
  <c r="K465" i="14"/>
  <c r="K481" i="14"/>
  <c r="O568" i="14"/>
  <c r="O564" i="15"/>
  <c r="O568" i="15"/>
  <c r="K86" i="3"/>
  <c r="K328" i="5"/>
  <c r="K398" i="5"/>
  <c r="N222" i="6"/>
  <c r="N220" i="6" s="1"/>
  <c r="N252" i="5"/>
  <c r="N331" i="8"/>
  <c r="N329" i="8" s="1"/>
  <c r="M312" i="10"/>
  <c r="P312" i="10" s="1"/>
  <c r="O665" i="4"/>
  <c r="K422" i="10"/>
  <c r="K430" i="10"/>
  <c r="K402" i="14"/>
  <c r="N252" i="17"/>
  <c r="N250" i="17" s="1"/>
  <c r="K396" i="6"/>
  <c r="L70" i="7"/>
  <c r="O70" i="7" s="1"/>
  <c r="K420" i="8"/>
  <c r="K424" i="8"/>
  <c r="K428" i="8"/>
  <c r="K597" i="12"/>
  <c r="K611" i="13"/>
  <c r="O566" i="15"/>
  <c r="O601" i="15"/>
  <c r="K631" i="15"/>
  <c r="K635" i="15"/>
  <c r="K380" i="19"/>
  <c r="O383" i="19"/>
  <c r="O599" i="19"/>
  <c r="O383" i="21"/>
  <c r="J416" i="1"/>
  <c r="O564" i="6"/>
  <c r="O568" i="6"/>
  <c r="K619" i="8"/>
  <c r="K628" i="9"/>
  <c r="K632" i="9"/>
  <c r="K455" i="11"/>
  <c r="K266" i="12"/>
  <c r="K149" i="15"/>
  <c r="N279" i="1"/>
  <c r="N331" i="14"/>
  <c r="N329" i="14" s="1"/>
  <c r="K349" i="4"/>
  <c r="L45" i="9"/>
  <c r="L43" i="9" s="1"/>
  <c r="L41" i="9" s="1"/>
  <c r="K633" i="11"/>
  <c r="N331" i="4"/>
  <c r="N329" i="4" s="1"/>
  <c r="N312" i="5"/>
  <c r="N310" i="5" s="1"/>
  <c r="O380" i="15"/>
  <c r="N120" i="20"/>
  <c r="N118" i="20" s="1"/>
  <c r="K173" i="4"/>
  <c r="O385" i="6"/>
  <c r="K219" i="12"/>
  <c r="J157" i="1"/>
  <c r="I185" i="1"/>
  <c r="J194" i="1"/>
  <c r="J211" i="1"/>
  <c r="J231" i="1"/>
  <c r="J245" i="1"/>
  <c r="J261" i="1"/>
  <c r="J560" i="1"/>
  <c r="N570" i="1"/>
  <c r="J580" i="1"/>
  <c r="N583" i="1"/>
  <c r="J608" i="1"/>
  <c r="J613" i="1"/>
  <c r="L49" i="1"/>
  <c r="I110" i="1"/>
  <c r="J129" i="1"/>
  <c r="J135" i="1"/>
  <c r="I216" i="1"/>
  <c r="J107" i="1"/>
  <c r="J169" i="1"/>
  <c r="J260" i="1"/>
  <c r="L537" i="1"/>
  <c r="J287" i="1"/>
  <c r="N436" i="1"/>
  <c r="N292" i="11"/>
  <c r="N290" i="11" s="1"/>
  <c r="L122" i="2"/>
  <c r="O122" i="2" s="1"/>
  <c r="L123" i="1"/>
  <c r="L314" i="3"/>
  <c r="O314" i="3" s="1"/>
  <c r="K343" i="3"/>
  <c r="K138" i="4"/>
  <c r="L144" i="4"/>
  <c r="L142" i="4" s="1"/>
  <c r="J579" i="1"/>
  <c r="N384" i="1"/>
  <c r="J470" i="1"/>
  <c r="K285" i="21"/>
  <c r="J303" i="1"/>
  <c r="J626" i="1"/>
  <c r="K204" i="9"/>
  <c r="L333" i="9"/>
  <c r="O333" i="9" s="1"/>
  <c r="K419" i="3"/>
  <c r="J133" i="1"/>
  <c r="N43" i="5"/>
  <c r="N41" i="5" s="1"/>
  <c r="N252" i="12"/>
  <c r="N250" i="12" s="1"/>
  <c r="N273" i="14"/>
  <c r="N271" i="14" s="1"/>
  <c r="K423" i="3"/>
  <c r="J112" i="1"/>
  <c r="K629" i="2"/>
  <c r="K427" i="7"/>
  <c r="O537" i="7"/>
  <c r="K377" i="15"/>
  <c r="O385" i="15"/>
  <c r="J350" i="1"/>
  <c r="I523" i="1"/>
  <c r="J184" i="1"/>
  <c r="K158" i="17"/>
  <c r="L46" i="1"/>
  <c r="I340" i="1"/>
  <c r="N382" i="1"/>
  <c r="J488" i="1"/>
  <c r="J492" i="1"/>
  <c r="I649" i="1"/>
  <c r="J81" i="1"/>
  <c r="I324" i="1"/>
  <c r="J364" i="1"/>
  <c r="J369" i="1"/>
  <c r="J373" i="1"/>
  <c r="J394" i="1"/>
  <c r="J420" i="1"/>
  <c r="J424" i="1"/>
  <c r="J428" i="1"/>
  <c r="J449" i="1"/>
  <c r="J454" i="1"/>
  <c r="N457" i="1"/>
  <c r="J519" i="1"/>
  <c r="N539" i="1"/>
  <c r="N45" i="1"/>
  <c r="J306" i="1"/>
  <c r="J344" i="1"/>
  <c r="L459" i="1"/>
  <c r="I517" i="1"/>
  <c r="N587" i="1"/>
  <c r="L599" i="1"/>
  <c r="I620" i="1"/>
  <c r="J285" i="1"/>
  <c r="K285" i="16"/>
  <c r="N337" i="1"/>
  <c r="I531" i="1"/>
  <c r="K289" i="5"/>
  <c r="K349" i="8"/>
  <c r="J324" i="1"/>
  <c r="J667" i="1"/>
  <c r="I235" i="1"/>
  <c r="N318" i="1"/>
  <c r="K213" i="2"/>
  <c r="K219" i="2"/>
  <c r="K498" i="2"/>
  <c r="K427" i="3"/>
  <c r="K455" i="5"/>
  <c r="K464" i="5"/>
  <c r="L224" i="10"/>
  <c r="O224" i="10" s="1"/>
  <c r="J263" i="1"/>
  <c r="J267" i="1"/>
  <c r="N294" i="1"/>
  <c r="K464" i="12"/>
  <c r="J238" i="1"/>
  <c r="L333" i="14"/>
  <c r="L331" i="14" s="1"/>
  <c r="L329" i="14" s="1"/>
  <c r="K341" i="14"/>
  <c r="O385" i="16"/>
  <c r="K164" i="17"/>
  <c r="L275" i="20"/>
  <c r="L273" i="20" s="1"/>
  <c r="K343" i="21"/>
  <c r="O347" i="21"/>
  <c r="I420" i="1"/>
  <c r="L296" i="1"/>
  <c r="I635" i="1"/>
  <c r="J301" i="1"/>
  <c r="L256" i="1"/>
  <c r="J325" i="1"/>
  <c r="J378" i="1"/>
  <c r="N386" i="1"/>
  <c r="I401" i="1"/>
  <c r="L404" i="1"/>
  <c r="I425" i="1"/>
  <c r="N96" i="3"/>
  <c r="N94" i="3" s="1"/>
  <c r="K199" i="8"/>
  <c r="P144" i="10"/>
  <c r="J155" i="1"/>
  <c r="J162" i="1"/>
  <c r="I173" i="1"/>
  <c r="I189" i="1"/>
  <c r="J209" i="1"/>
  <c r="I64" i="1"/>
  <c r="J229" i="1"/>
  <c r="M252" i="18"/>
  <c r="P252" i="18" s="1"/>
  <c r="O144" i="4"/>
  <c r="N571" i="1"/>
  <c r="J662" i="1"/>
  <c r="I500" i="1"/>
  <c r="K500" i="1" s="1"/>
  <c r="K628" i="3"/>
  <c r="K632" i="3"/>
  <c r="N312" i="10"/>
  <c r="N310" i="10" s="1"/>
  <c r="K345" i="21"/>
  <c r="L385" i="1"/>
  <c r="L254" i="12"/>
  <c r="O254" i="12" s="1"/>
  <c r="N331" i="2"/>
  <c r="N329" i="2" s="1"/>
  <c r="J237" i="1"/>
  <c r="J244" i="1"/>
  <c r="J402" i="1"/>
  <c r="N435" i="1"/>
  <c r="N439" i="1"/>
  <c r="J474" i="1"/>
  <c r="J482" i="1"/>
  <c r="J502" i="1"/>
  <c r="J522" i="1"/>
  <c r="J546" i="1"/>
  <c r="J624" i="1"/>
  <c r="J633" i="1"/>
  <c r="J160" i="1"/>
  <c r="J187" i="1"/>
  <c r="I199" i="1"/>
  <c r="J284" i="1"/>
  <c r="J367" i="1"/>
  <c r="J418" i="1"/>
  <c r="N438" i="1"/>
  <c r="J451" i="1"/>
  <c r="N61" i="1"/>
  <c r="J92" i="1"/>
  <c r="N148" i="1"/>
  <c r="O352" i="8"/>
  <c r="J65" i="1"/>
  <c r="N120" i="2"/>
  <c r="N118" i="2" s="1"/>
  <c r="N273" i="2"/>
  <c r="N271" i="2" s="1"/>
  <c r="K633" i="2"/>
  <c r="K88" i="3"/>
  <c r="N43" i="4"/>
  <c r="N41" i="4" s="1"/>
  <c r="K663" i="4"/>
  <c r="N102" i="1"/>
  <c r="J270" i="1"/>
  <c r="J300" i="1"/>
  <c r="J361" i="1"/>
  <c r="I402" i="1"/>
  <c r="I526" i="1"/>
  <c r="L533" i="1"/>
  <c r="J670" i="1"/>
  <c r="J676" i="1"/>
  <c r="P98" i="12"/>
  <c r="K111" i="12"/>
  <c r="N68" i="15"/>
  <c r="N66" i="15" s="1"/>
  <c r="J79" i="1"/>
  <c r="J213" i="1"/>
  <c r="K173" i="17"/>
  <c r="I671" i="1"/>
  <c r="I631" i="1"/>
  <c r="I516" i="1"/>
  <c r="I528" i="1"/>
  <c r="N556" i="1"/>
  <c r="I564" i="1"/>
  <c r="J86" i="1"/>
  <c r="J648" i="1"/>
  <c r="J632" i="1"/>
  <c r="N144" i="1"/>
  <c r="L334" i="1"/>
  <c r="L582" i="1"/>
  <c r="O347" i="3"/>
  <c r="J400" i="1"/>
  <c r="J432" i="1"/>
  <c r="N441" i="1"/>
  <c r="N463" i="1"/>
  <c r="I429" i="1"/>
  <c r="L45" i="6"/>
  <c r="O45" i="6" s="1"/>
  <c r="L275" i="10"/>
  <c r="O275" i="10" s="1"/>
  <c r="J651" i="10"/>
  <c r="K651" i="10" s="1"/>
  <c r="K663" i="10"/>
  <c r="K397" i="14"/>
  <c r="K349" i="15"/>
  <c r="O597" i="18"/>
  <c r="K635" i="19"/>
  <c r="K427" i="20"/>
  <c r="K377" i="21"/>
  <c r="K428" i="21"/>
  <c r="K432" i="21"/>
  <c r="K449" i="21"/>
  <c r="L70" i="22"/>
  <c r="O70" i="22" s="1"/>
  <c r="K199" i="22"/>
  <c r="J204" i="1"/>
  <c r="I238" i="1"/>
  <c r="K238" i="1" s="1"/>
  <c r="I368" i="1"/>
  <c r="I480" i="1"/>
  <c r="K480" i="1" s="1"/>
  <c r="I504" i="1"/>
  <c r="K504" i="1" s="1"/>
  <c r="J104" i="1"/>
  <c r="J114" i="1"/>
  <c r="M122" i="1"/>
  <c r="J130" i="1"/>
  <c r="I138" i="1"/>
  <c r="N258" i="1"/>
  <c r="M275" i="1"/>
  <c r="J283" i="1"/>
  <c r="L298" i="1"/>
  <c r="I306" i="1"/>
  <c r="J320" i="1"/>
  <c r="J340" i="1"/>
  <c r="I380" i="1"/>
  <c r="I525" i="1"/>
  <c r="I529" i="1"/>
  <c r="J549" i="1"/>
  <c r="J635" i="1"/>
  <c r="L295" i="1"/>
  <c r="I616" i="1"/>
  <c r="I624" i="1"/>
  <c r="J652" i="1"/>
  <c r="J675" i="1"/>
  <c r="L224" i="5"/>
  <c r="O224" i="5" s="1"/>
  <c r="J398" i="1"/>
  <c r="N406" i="1"/>
  <c r="J448" i="1"/>
  <c r="J466" i="1"/>
  <c r="J478" i="1"/>
  <c r="J486" i="1"/>
  <c r="J506" i="1"/>
  <c r="J514" i="1"/>
  <c r="I597" i="1"/>
  <c r="N665" i="1"/>
  <c r="P333" i="11"/>
  <c r="K380" i="12"/>
  <c r="K435" i="12"/>
  <c r="O455" i="12"/>
  <c r="O459" i="12"/>
  <c r="K465" i="12"/>
  <c r="K481" i="12"/>
  <c r="K427" i="16"/>
  <c r="K464" i="18"/>
  <c r="K416" i="19"/>
  <c r="K424" i="19"/>
  <c r="K428" i="19"/>
  <c r="N534" i="1"/>
  <c r="J655" i="1"/>
  <c r="J611" i="1"/>
  <c r="I592" i="1"/>
  <c r="K592" i="1" s="1"/>
  <c r="N74" i="1"/>
  <c r="J85" i="1"/>
  <c r="J90" i="1"/>
  <c r="J110" i="1"/>
  <c r="J115" i="1"/>
  <c r="J131" i="1"/>
  <c r="L146" i="1"/>
  <c r="I164" i="1"/>
  <c r="J174" i="1"/>
  <c r="J217" i="1"/>
  <c r="J477" i="1"/>
  <c r="J497" i="1"/>
  <c r="J501" i="1"/>
  <c r="L564" i="1"/>
  <c r="L568" i="1"/>
  <c r="N536" i="1"/>
  <c r="J550" i="1"/>
  <c r="N553" i="1"/>
  <c r="N559" i="1"/>
  <c r="J575" i="1"/>
  <c r="K533" i="5"/>
  <c r="K173" i="9"/>
  <c r="K189" i="9"/>
  <c r="J302" i="1"/>
  <c r="J346" i="1"/>
  <c r="M45" i="1"/>
  <c r="I149" i="1"/>
  <c r="J159" i="1"/>
  <c r="J203" i="1"/>
  <c r="J219" i="1"/>
  <c r="N224" i="1"/>
  <c r="J232" i="1"/>
  <c r="J246" i="1"/>
  <c r="J262" i="1"/>
  <c r="J309" i="1"/>
  <c r="L380" i="1"/>
  <c r="I419" i="1"/>
  <c r="I431" i="1"/>
  <c r="L435" i="1"/>
  <c r="O435" i="1" s="1"/>
  <c r="L439" i="1"/>
  <c r="O439" i="1" s="1"/>
  <c r="N460" i="1"/>
  <c r="I522" i="1"/>
  <c r="N569" i="1"/>
  <c r="J371" i="1"/>
  <c r="J397" i="1"/>
  <c r="N455" i="1"/>
  <c r="N459" i="1"/>
  <c r="L275" i="22"/>
  <c r="O275" i="22" s="1"/>
  <c r="J161" i="1"/>
  <c r="I372" i="1"/>
  <c r="I551" i="1"/>
  <c r="I596" i="1"/>
  <c r="K596" i="1" s="1"/>
  <c r="M224" i="1"/>
  <c r="K481" i="3"/>
  <c r="P254" i="4"/>
  <c r="K597" i="4"/>
  <c r="K215" i="5"/>
  <c r="K164" i="9"/>
  <c r="P144" i="13"/>
  <c r="N252" i="14"/>
  <c r="N250" i="14" s="1"/>
  <c r="K499" i="16"/>
  <c r="K422" i="18"/>
  <c r="K430" i="18"/>
  <c r="K435" i="18"/>
  <c r="I176" i="1"/>
  <c r="I82" i="1"/>
  <c r="I186" i="1"/>
  <c r="I490" i="1"/>
  <c r="K490" i="1" s="1"/>
  <c r="L553" i="1"/>
  <c r="I663" i="1"/>
  <c r="J393" i="1"/>
  <c r="I416" i="1"/>
  <c r="I424" i="1"/>
  <c r="I428" i="1"/>
  <c r="I432" i="1"/>
  <c r="I449" i="1"/>
  <c r="J453" i="1"/>
  <c r="L457" i="1"/>
  <c r="J494" i="1"/>
  <c r="O533" i="5"/>
  <c r="K343" i="6"/>
  <c r="J577" i="1"/>
  <c r="N584" i="1"/>
  <c r="J590" i="1"/>
  <c r="J594" i="1"/>
  <c r="J622" i="1"/>
  <c r="J631" i="1"/>
  <c r="P45" i="7"/>
  <c r="L255" i="1"/>
  <c r="J289" i="1"/>
  <c r="J374" i="1"/>
  <c r="J484" i="1"/>
  <c r="J496" i="1"/>
  <c r="K229" i="12"/>
  <c r="K397" i="21"/>
  <c r="K451" i="21"/>
  <c r="O455" i="21"/>
  <c r="O459" i="21"/>
  <c r="J634" i="1"/>
  <c r="J564" i="1"/>
  <c r="I575" i="1"/>
  <c r="K575" i="1" s="1"/>
  <c r="K189" i="8"/>
  <c r="L333" i="8"/>
  <c r="L331" i="8" s="1"/>
  <c r="P57" i="9"/>
  <c r="J660" i="1"/>
  <c r="J665" i="1"/>
  <c r="N43" i="12"/>
  <c r="N41" i="12" s="1"/>
  <c r="K665" i="13"/>
  <c r="K474" i="18"/>
  <c r="J199" i="1"/>
  <c r="I470" i="1"/>
  <c r="K470" i="1" s="1"/>
  <c r="I496" i="1"/>
  <c r="K496" i="1" s="1"/>
  <c r="I579" i="1"/>
  <c r="K579" i="1" s="1"/>
  <c r="J108" i="1"/>
  <c r="K431" i="3"/>
  <c r="K429" i="4"/>
  <c r="O437" i="4"/>
  <c r="K450" i="4"/>
  <c r="K631" i="5"/>
  <c r="N273" i="6"/>
  <c r="N271" i="6" s="1"/>
  <c r="K435" i="9"/>
  <c r="K189" i="11"/>
  <c r="N331" i="11"/>
  <c r="N329" i="11" s="1"/>
  <c r="K595" i="12"/>
  <c r="N96" i="13"/>
  <c r="N94" i="13" s="1"/>
  <c r="L275" i="14"/>
  <c r="O275" i="14" s="1"/>
  <c r="K213" i="15"/>
  <c r="K219" i="15"/>
  <c r="K398" i="19"/>
  <c r="O439" i="19"/>
  <c r="K580" i="19"/>
  <c r="K372" i="21"/>
  <c r="K423" i="21"/>
  <c r="K427" i="21"/>
  <c r="O566" i="22"/>
  <c r="L279" i="1"/>
  <c r="O279" i="1" s="1"/>
  <c r="I350" i="1"/>
  <c r="K370" i="5"/>
  <c r="I370" i="1"/>
  <c r="K484" i="5"/>
  <c r="I484" i="1"/>
  <c r="K484" i="1" s="1"/>
  <c r="K492" i="5"/>
  <c r="I492" i="1"/>
  <c r="K492" i="1" s="1"/>
  <c r="K508" i="5"/>
  <c r="I508" i="1"/>
  <c r="K508" i="1" s="1"/>
  <c r="K512" i="5"/>
  <c r="I512" i="1"/>
  <c r="K512" i="1" s="1"/>
  <c r="I520" i="1"/>
  <c r="I532" i="1"/>
  <c r="L535" i="1"/>
  <c r="N540" i="1"/>
  <c r="N602" i="1"/>
  <c r="K651" i="5"/>
  <c r="I651" i="1"/>
  <c r="J658" i="1"/>
  <c r="J663" i="1"/>
  <c r="L258" i="1"/>
  <c r="O258" i="1" s="1"/>
  <c r="L59" i="1"/>
  <c r="I81" i="1"/>
  <c r="J89" i="1"/>
  <c r="L145" i="1"/>
  <c r="J156" i="1"/>
  <c r="J163" i="1"/>
  <c r="J173" i="1"/>
  <c r="J189" i="1"/>
  <c r="J210" i="1"/>
  <c r="J216" i="1"/>
  <c r="I229" i="1"/>
  <c r="J236" i="1"/>
  <c r="I265" i="1"/>
  <c r="I270" i="1"/>
  <c r="I473" i="1"/>
  <c r="I477" i="1"/>
  <c r="K477" i="1" s="1"/>
  <c r="I481" i="1"/>
  <c r="I485" i="1"/>
  <c r="K485" i="1" s="1"/>
  <c r="I489" i="1"/>
  <c r="K489" i="1" s="1"/>
  <c r="I493" i="1"/>
  <c r="K493" i="1" s="1"/>
  <c r="I501" i="1"/>
  <c r="K501" i="1" s="1"/>
  <c r="I505" i="1"/>
  <c r="K505" i="1" s="1"/>
  <c r="I509" i="1"/>
  <c r="K509" i="1" s="1"/>
  <c r="N567" i="1"/>
  <c r="J573" i="1"/>
  <c r="J578" i="1"/>
  <c r="N581" i="1"/>
  <c r="N586" i="1"/>
  <c r="J615" i="1"/>
  <c r="J619" i="1"/>
  <c r="J623" i="1"/>
  <c r="J628" i="1"/>
  <c r="K668" i="2"/>
  <c r="I668" i="1"/>
  <c r="N671" i="1"/>
  <c r="J672" i="1"/>
  <c r="O456" i="14"/>
  <c r="L456" i="1"/>
  <c r="O456" i="1" s="1"/>
  <c r="K466" i="14"/>
  <c r="I466" i="1"/>
  <c r="K474" i="14"/>
  <c r="I474" i="1"/>
  <c r="K486" i="14"/>
  <c r="I486" i="1"/>
  <c r="K486" i="1" s="1"/>
  <c r="O554" i="14"/>
  <c r="L554" i="1"/>
  <c r="O554" i="1" s="1"/>
  <c r="O565" i="14"/>
  <c r="L565" i="1"/>
  <c r="O565" i="1" s="1"/>
  <c r="N228" i="1"/>
  <c r="L61" i="1"/>
  <c r="O61" i="1" s="1"/>
  <c r="O406" i="14"/>
  <c r="L406" i="1"/>
  <c r="K423" i="14"/>
  <c r="I423" i="1"/>
  <c r="I244" i="1"/>
  <c r="K244" i="1" s="1"/>
  <c r="L315" i="1"/>
  <c r="I590" i="1"/>
  <c r="K590" i="1" s="1"/>
  <c r="N601" i="1"/>
  <c r="J614" i="1"/>
  <c r="J618" i="1"/>
  <c r="O352" i="7"/>
  <c r="L352" i="1"/>
  <c r="N541" i="1"/>
  <c r="J649" i="1"/>
  <c r="K342" i="12"/>
  <c r="I342" i="1"/>
  <c r="K342" i="1" s="1"/>
  <c r="L354" i="1"/>
  <c r="L671" i="1"/>
  <c r="I309" i="1"/>
  <c r="I133" i="1"/>
  <c r="K133" i="1" s="1"/>
  <c r="I346" i="1"/>
  <c r="K346" i="1" s="1"/>
  <c r="K494" i="11"/>
  <c r="I494" i="1"/>
  <c r="K494" i="1" s="1"/>
  <c r="I498" i="1"/>
  <c r="K502" i="11"/>
  <c r="I502" i="1"/>
  <c r="K502" i="1" s="1"/>
  <c r="I381" i="1"/>
  <c r="N597" i="1"/>
  <c r="I267" i="1"/>
  <c r="I595" i="1"/>
  <c r="J138" i="1"/>
  <c r="J321" i="1"/>
  <c r="J328" i="1"/>
  <c r="J430" i="1"/>
  <c r="J446" i="1"/>
  <c r="J465" i="1"/>
  <c r="J469" i="1"/>
  <c r="J473" i="1"/>
  <c r="J481" i="1"/>
  <c r="J489" i="1"/>
  <c r="N604" i="1"/>
  <c r="J668" i="1"/>
  <c r="K219" i="3"/>
  <c r="I374" i="1"/>
  <c r="I396" i="1"/>
  <c r="N409" i="1"/>
  <c r="I417" i="1"/>
  <c r="I421" i="1"/>
  <c r="I455" i="1"/>
  <c r="K464" i="3"/>
  <c r="O535" i="5"/>
  <c r="L98" i="7"/>
  <c r="O98" i="7" s="1"/>
  <c r="K219" i="7"/>
  <c r="K613" i="9"/>
  <c r="K617" i="9"/>
  <c r="K668" i="10"/>
  <c r="K613" i="13"/>
  <c r="N252" i="15"/>
  <c r="N250" i="15" s="1"/>
  <c r="P250" i="15" s="1"/>
  <c r="K533" i="15"/>
  <c r="P275" i="16"/>
  <c r="O401" i="16"/>
  <c r="O601" i="17"/>
  <c r="O650" i="17"/>
  <c r="K189" i="18"/>
  <c r="K200" i="18"/>
  <c r="K229" i="18"/>
  <c r="O535" i="20"/>
  <c r="K564" i="20"/>
  <c r="N142" i="21"/>
  <c r="N140" i="21" s="1"/>
  <c r="O349" i="21"/>
  <c r="I92" i="1"/>
  <c r="J106" i="1"/>
  <c r="I117" i="1"/>
  <c r="I266" i="1"/>
  <c r="I285" i="1"/>
  <c r="J341" i="1"/>
  <c r="J345" i="1"/>
  <c r="N353" i="1"/>
  <c r="J391" i="1"/>
  <c r="J414" i="1"/>
  <c r="K427" i="2"/>
  <c r="O439" i="2"/>
  <c r="J447" i="1"/>
  <c r="I452" i="1"/>
  <c r="K452" i="1" s="1"/>
  <c r="J545" i="1"/>
  <c r="L668" i="1"/>
  <c r="J673" i="1"/>
  <c r="N273" i="7"/>
  <c r="N271" i="7" s="1"/>
  <c r="K164" i="12"/>
  <c r="K432" i="12"/>
  <c r="N55" i="16"/>
  <c r="N53" i="16" s="1"/>
  <c r="K428" i="17"/>
  <c r="L45" i="19"/>
  <c r="L43" i="19" s="1"/>
  <c r="L41" i="19" s="1"/>
  <c r="K93" i="19"/>
  <c r="K370" i="19"/>
  <c r="K450" i="20"/>
  <c r="K229" i="21"/>
  <c r="K466" i="21"/>
  <c r="O354" i="22"/>
  <c r="J77" i="1"/>
  <c r="J82" i="1"/>
  <c r="N98" i="1"/>
  <c r="J111" i="1"/>
  <c r="J117" i="1"/>
  <c r="J158" i="1"/>
  <c r="J266" i="1"/>
  <c r="N314" i="1"/>
  <c r="J323" i="1"/>
  <c r="J368" i="1"/>
  <c r="J372" i="1"/>
  <c r="N380" i="1"/>
  <c r="J392" i="1"/>
  <c r="J415" i="1"/>
  <c r="J419" i="1"/>
  <c r="J423" i="1"/>
  <c r="J427" i="1"/>
  <c r="J431" i="1"/>
  <c r="J452" i="1"/>
  <c r="N456" i="1"/>
  <c r="N461" i="1"/>
  <c r="N554" i="1"/>
  <c r="J607" i="1"/>
  <c r="I613" i="1"/>
  <c r="I617" i="1"/>
  <c r="I621" i="1"/>
  <c r="I625" i="1"/>
  <c r="N668" i="1"/>
  <c r="K650" i="4"/>
  <c r="O599" i="5"/>
  <c r="K219" i="9"/>
  <c r="K573" i="9"/>
  <c r="K213" i="10"/>
  <c r="K435" i="10"/>
  <c r="K591" i="12"/>
  <c r="N142" i="14"/>
  <c r="N140" i="14" s="1"/>
  <c r="K235" i="14"/>
  <c r="N142" i="17"/>
  <c r="P142" i="17" s="1"/>
  <c r="N55" i="20"/>
  <c r="N53" i="20" s="1"/>
  <c r="K402" i="21"/>
  <c r="K625" i="22"/>
  <c r="K93" i="2"/>
  <c r="L98" i="2"/>
  <c r="O98" i="2" s="1"/>
  <c r="K108" i="2"/>
  <c r="N254" i="1"/>
  <c r="M294" i="1"/>
  <c r="J342" i="1"/>
  <c r="J363" i="1"/>
  <c r="I377" i="1"/>
  <c r="J399" i="1"/>
  <c r="L403" i="1"/>
  <c r="O403" i="1" s="1"/>
  <c r="N407" i="1"/>
  <c r="N440" i="1"/>
  <c r="N462" i="1"/>
  <c r="I467" i="1"/>
  <c r="K467" i="1" s="1"/>
  <c r="I491" i="1"/>
  <c r="K491" i="1" s="1"/>
  <c r="I495" i="1"/>
  <c r="K495" i="1" s="1"/>
  <c r="I499" i="1"/>
  <c r="I519" i="1"/>
  <c r="I527" i="1"/>
  <c r="N538" i="1"/>
  <c r="I547" i="1"/>
  <c r="L551" i="1"/>
  <c r="L555" i="1"/>
  <c r="J576" i="1"/>
  <c r="J589" i="1"/>
  <c r="J593" i="1"/>
  <c r="J597" i="1"/>
  <c r="N600" i="1"/>
  <c r="J669" i="1"/>
  <c r="K498" i="6"/>
  <c r="N142" i="7"/>
  <c r="N140" i="7" s="1"/>
  <c r="N222" i="10"/>
  <c r="N220" i="10" s="1"/>
  <c r="N43" i="13"/>
  <c r="P43" i="13" s="1"/>
  <c r="N142" i="15"/>
  <c r="N140" i="15" s="1"/>
  <c r="K81" i="17"/>
  <c r="N55" i="18"/>
  <c r="N53" i="18" s="1"/>
  <c r="K629" i="19"/>
  <c r="N43" i="2"/>
  <c r="N41" i="2" s="1"/>
  <c r="I65" i="1"/>
  <c r="N68" i="2"/>
  <c r="N66" i="2" s="1"/>
  <c r="J87" i="1"/>
  <c r="J93" i="1"/>
  <c r="L100" i="1"/>
  <c r="I204" i="1"/>
  <c r="L226" i="1"/>
  <c r="J241" i="1"/>
  <c r="J249" i="1"/>
  <c r="L347" i="1"/>
  <c r="L351" i="1"/>
  <c r="O351" i="1" s="1"/>
  <c r="N355" i="1"/>
  <c r="J377" i="1"/>
  <c r="J381" i="1"/>
  <c r="N403" i="1"/>
  <c r="N408" i="1"/>
  <c r="J487" i="1"/>
  <c r="J491" i="1"/>
  <c r="J495" i="1"/>
  <c r="J499" i="1"/>
  <c r="J507" i="1"/>
  <c r="J511" i="1"/>
  <c r="J515" i="1"/>
  <c r="J523" i="1"/>
  <c r="J527" i="1"/>
  <c r="J531" i="1"/>
  <c r="J547" i="1"/>
  <c r="N551" i="1"/>
  <c r="N555" i="1"/>
  <c r="I618" i="1"/>
  <c r="I622" i="1"/>
  <c r="I626" i="1"/>
  <c r="J653" i="1"/>
  <c r="K266" i="3"/>
  <c r="K189" i="5"/>
  <c r="L275" i="5"/>
  <c r="O275" i="5" s="1"/>
  <c r="P314" i="5"/>
  <c r="K533" i="12"/>
  <c r="K630" i="13"/>
  <c r="K634" i="13"/>
  <c r="K455" i="15"/>
  <c r="K634" i="22"/>
  <c r="N55" i="2"/>
  <c r="N53" i="2" s="1"/>
  <c r="J154" i="1"/>
  <c r="J172" i="1"/>
  <c r="J182" i="1"/>
  <c r="J188" i="1"/>
  <c r="L228" i="1"/>
  <c r="O228" i="1" s="1"/>
  <c r="J281" i="1"/>
  <c r="K289" i="2"/>
  <c r="L294" i="2"/>
  <c r="L292" i="2" s="1"/>
  <c r="L290" i="2" s="1"/>
  <c r="J343" i="1"/>
  <c r="N347" i="1"/>
  <c r="N351" i="1"/>
  <c r="N356" i="1"/>
  <c r="N582" i="1"/>
  <c r="N588" i="1"/>
  <c r="J592" i="1"/>
  <c r="J596" i="1"/>
  <c r="N599" i="1"/>
  <c r="N605" i="1"/>
  <c r="J612" i="1"/>
  <c r="J616" i="1"/>
  <c r="J620" i="1"/>
  <c r="J629" i="1"/>
  <c r="J647" i="1"/>
  <c r="J661" i="1"/>
  <c r="K249" i="4"/>
  <c r="K264" i="6"/>
  <c r="L314" i="7"/>
  <c r="O314" i="7" s="1"/>
  <c r="O385" i="7"/>
  <c r="K424" i="7"/>
  <c r="K370" i="8"/>
  <c r="P144" i="9"/>
  <c r="O354" i="10"/>
  <c r="N120" i="11"/>
  <c r="N118" i="11" s="1"/>
  <c r="O352" i="15"/>
  <c r="L122" i="17"/>
  <c r="O122" i="17" s="1"/>
  <c r="K132" i="17"/>
  <c r="K631" i="18"/>
  <c r="K635" i="18"/>
  <c r="K368" i="19"/>
  <c r="N142" i="2"/>
  <c r="N140" i="2" s="1"/>
  <c r="J183" i="1"/>
  <c r="I200" i="1"/>
  <c r="I349" i="1"/>
  <c r="N357" i="1"/>
  <c r="J365" i="1"/>
  <c r="J370" i="1"/>
  <c r="J379" i="1"/>
  <c r="N31" i="2"/>
  <c r="N29" i="2" s="1"/>
  <c r="N387" i="1"/>
  <c r="J401" i="1"/>
  <c r="N404" i="1"/>
  <c r="J455" i="1"/>
  <c r="N458" i="1"/>
  <c r="J500" i="1"/>
  <c r="J504" i="1"/>
  <c r="J508" i="1"/>
  <c r="J516" i="1"/>
  <c r="J520" i="1"/>
  <c r="J524" i="1"/>
  <c r="J528" i="1"/>
  <c r="J532" i="1"/>
  <c r="N585" i="1"/>
  <c r="I615" i="1"/>
  <c r="I623" i="1"/>
  <c r="J518" i="1"/>
  <c r="J530" i="1"/>
  <c r="N533" i="1"/>
  <c r="N537" i="1"/>
  <c r="K423" i="4"/>
  <c r="L314" i="5"/>
  <c r="L312" i="5" s="1"/>
  <c r="L310" i="5" s="1"/>
  <c r="K199" i="6"/>
  <c r="L122" i="7"/>
  <c r="L120" i="7" s="1"/>
  <c r="O120" i="7" s="1"/>
  <c r="M68" i="12"/>
  <c r="P68" i="12" s="1"/>
  <c r="N273" i="13"/>
  <c r="N271" i="13" s="1"/>
  <c r="O535" i="13"/>
  <c r="N331" i="15"/>
  <c r="N329" i="15" s="1"/>
  <c r="O401" i="15"/>
  <c r="L98" i="16"/>
  <c r="L96" i="16" s="1"/>
  <c r="L224" i="16"/>
  <c r="O224" i="16" s="1"/>
  <c r="P74" i="18"/>
  <c r="K173" i="19"/>
  <c r="K200" i="19"/>
  <c r="K266" i="19"/>
  <c r="K449" i="19"/>
  <c r="K547" i="19"/>
  <c r="P57" i="20"/>
  <c r="L57" i="22"/>
  <c r="L55" i="22" s="1"/>
  <c r="O437" i="22"/>
  <c r="L32" i="3"/>
  <c r="L30" i="3" s="1"/>
  <c r="I201" i="1"/>
  <c r="L458" i="1"/>
  <c r="O458" i="1" s="1"/>
  <c r="I577" i="1"/>
  <c r="K577" i="1" s="1"/>
  <c r="J64" i="1"/>
  <c r="J78" i="1"/>
  <c r="I83" i="1"/>
  <c r="N292" i="2"/>
  <c r="N290" i="2" s="1"/>
  <c r="K306" i="2"/>
  <c r="I341" i="1"/>
  <c r="J349" i="1"/>
  <c r="N352" i="1"/>
  <c r="N358" i="1"/>
  <c r="J366" i="1"/>
  <c r="I375" i="1"/>
  <c r="K380" i="2"/>
  <c r="O383" i="2"/>
  <c r="N388" i="1"/>
  <c r="L401" i="1"/>
  <c r="L405" i="1"/>
  <c r="O405" i="1" s="1"/>
  <c r="K418" i="2"/>
  <c r="K422" i="2"/>
  <c r="K426" i="2"/>
  <c r="I430" i="1"/>
  <c r="J445" i="1"/>
  <c r="O455" i="2"/>
  <c r="J464" i="1"/>
  <c r="J468" i="1"/>
  <c r="J472" i="1"/>
  <c r="J476" i="1"/>
  <c r="J480" i="1"/>
  <c r="K229" i="3"/>
  <c r="N273" i="3"/>
  <c r="N271" i="3" s="1"/>
  <c r="J396" i="1"/>
  <c r="N410" i="1"/>
  <c r="N437" i="1"/>
  <c r="N443" i="1"/>
  <c r="K450" i="3"/>
  <c r="N55" i="4"/>
  <c r="P55" i="4" s="1"/>
  <c r="J202" i="1"/>
  <c r="J233" i="1"/>
  <c r="N252" i="4"/>
  <c r="N250" i="4" s="1"/>
  <c r="N273" i="4"/>
  <c r="N271" i="4" s="1"/>
  <c r="K341" i="4"/>
  <c r="K189" i="6"/>
  <c r="K380" i="8"/>
  <c r="K631" i="10"/>
  <c r="P98" i="21"/>
  <c r="M96" i="21"/>
  <c r="P96" i="21" s="1"/>
  <c r="N122" i="1"/>
  <c r="I468" i="1"/>
  <c r="K468" i="1" s="1"/>
  <c r="I476" i="1"/>
  <c r="K476" i="1" s="1"/>
  <c r="I87" i="1"/>
  <c r="J132" i="1"/>
  <c r="J322" i="1"/>
  <c r="L335" i="1"/>
  <c r="N33" i="2"/>
  <c r="N13" i="2" s="1"/>
  <c r="I465" i="1"/>
  <c r="I469" i="1"/>
  <c r="K469" i="1" s="1"/>
  <c r="N26" i="3"/>
  <c r="N16" i="3" s="1"/>
  <c r="L144" i="3"/>
  <c r="L142" i="3" s="1"/>
  <c r="N252" i="3"/>
  <c r="P252" i="3" s="1"/>
  <c r="L275" i="3"/>
  <c r="O275" i="3" s="1"/>
  <c r="K285" i="3"/>
  <c r="L333" i="3"/>
  <c r="L331" i="3" s="1"/>
  <c r="J360" i="1"/>
  <c r="I367" i="3"/>
  <c r="K367" i="3" s="1"/>
  <c r="J617" i="1"/>
  <c r="J625" i="1"/>
  <c r="J630" i="1"/>
  <c r="J650" i="1"/>
  <c r="J677" i="1"/>
  <c r="L70" i="4"/>
  <c r="O70" i="4" s="1"/>
  <c r="K264" i="4"/>
  <c r="K376" i="4"/>
  <c r="O380" i="4"/>
  <c r="K427" i="4"/>
  <c r="K466" i="4"/>
  <c r="I650" i="1"/>
  <c r="K650" i="1" s="1"/>
  <c r="I112" i="1"/>
  <c r="J591" i="1"/>
  <c r="J595" i="1"/>
  <c r="L597" i="1"/>
  <c r="J609" i="1"/>
  <c r="M96" i="15"/>
  <c r="P96" i="15" s="1"/>
  <c r="P98" i="15"/>
  <c r="I88" i="1"/>
  <c r="I560" i="1"/>
  <c r="L57" i="2"/>
  <c r="L55" i="2" s="1"/>
  <c r="L53" i="2" s="1"/>
  <c r="L72" i="1"/>
  <c r="J84" i="1"/>
  <c r="K87" i="2"/>
  <c r="J286" i="1"/>
  <c r="K376" i="2"/>
  <c r="N43" i="3"/>
  <c r="P43" i="3" s="1"/>
  <c r="K64" i="3"/>
  <c r="K158" i="3"/>
  <c r="N580" i="1"/>
  <c r="K199" i="4"/>
  <c r="P275" i="4"/>
  <c r="K381" i="4"/>
  <c r="O385" i="4"/>
  <c r="K591" i="4"/>
  <c r="K416" i="5"/>
  <c r="K424" i="5"/>
  <c r="L70" i="10"/>
  <c r="L68" i="10" s="1"/>
  <c r="O68" i="10" s="1"/>
  <c r="K649" i="14"/>
  <c r="P70" i="15"/>
  <c r="M68" i="15"/>
  <c r="P68" i="15" s="1"/>
  <c r="O582" i="19"/>
  <c r="L32" i="19"/>
  <c r="L30" i="19" s="1"/>
  <c r="L254" i="2"/>
  <c r="O254" i="2" s="1"/>
  <c r="O385" i="2"/>
  <c r="K416" i="2"/>
  <c r="K424" i="2"/>
  <c r="N568" i="1"/>
  <c r="L651" i="1"/>
  <c r="J659" i="1"/>
  <c r="L45" i="3"/>
  <c r="O45" i="3" s="1"/>
  <c r="J543" i="1"/>
  <c r="L567" i="1"/>
  <c r="O567" i="1" s="1"/>
  <c r="I472" i="1"/>
  <c r="K472" i="1" s="1"/>
  <c r="J215" i="1"/>
  <c r="J242" i="1"/>
  <c r="J526" i="1"/>
  <c r="J551" i="1"/>
  <c r="J490" i="1"/>
  <c r="J498" i="1"/>
  <c r="J521" i="1"/>
  <c r="J525" i="1"/>
  <c r="K533" i="3"/>
  <c r="J433" i="1"/>
  <c r="N442" i="1"/>
  <c r="P314" i="14"/>
  <c r="M312" i="14"/>
  <c r="P312" i="14" s="1"/>
  <c r="I344" i="1"/>
  <c r="K344" i="1" s="1"/>
  <c r="L382" i="1"/>
  <c r="O382" i="1" s="1"/>
  <c r="L580" i="1"/>
  <c r="I648" i="1"/>
  <c r="K138" i="2"/>
  <c r="K216" i="2"/>
  <c r="J235" i="1"/>
  <c r="J264" i="1"/>
  <c r="J269" i="1"/>
  <c r="I503" i="1"/>
  <c r="K503" i="1" s="1"/>
  <c r="I511" i="1"/>
  <c r="K511" i="1" s="1"/>
  <c r="I515" i="1"/>
  <c r="K515" i="1" s="1"/>
  <c r="L31" i="2"/>
  <c r="O31" i="2" s="1"/>
  <c r="N649" i="1"/>
  <c r="K381" i="3"/>
  <c r="O385" i="3"/>
  <c r="K416" i="3"/>
  <c r="K420" i="3"/>
  <c r="K428" i="3"/>
  <c r="K499" i="3"/>
  <c r="K633" i="3"/>
  <c r="M292" i="4"/>
  <c r="P292" i="4" s="1"/>
  <c r="L333" i="4"/>
  <c r="L331" i="4" s="1"/>
  <c r="P70" i="5"/>
  <c r="M68" i="5"/>
  <c r="M66" i="5" s="1"/>
  <c r="P66" i="5" s="1"/>
  <c r="K340" i="6"/>
  <c r="K349" i="6"/>
  <c r="K455" i="6"/>
  <c r="N252" i="7"/>
  <c r="N250" i="7" s="1"/>
  <c r="K235" i="11"/>
  <c r="K398" i="11"/>
  <c r="K402" i="11"/>
  <c r="K423" i="11"/>
  <c r="K427" i="11"/>
  <c r="O435" i="11"/>
  <c r="O568" i="11"/>
  <c r="K189" i="12"/>
  <c r="K200" i="12"/>
  <c r="O380" i="12"/>
  <c r="K398" i="12"/>
  <c r="O406" i="12"/>
  <c r="O435" i="12"/>
  <c r="O439" i="12"/>
  <c r="K466" i="12"/>
  <c r="K474" i="12"/>
  <c r="K482" i="12"/>
  <c r="O533" i="12"/>
  <c r="K616" i="19"/>
  <c r="O601" i="4"/>
  <c r="K631" i="4"/>
  <c r="K132" i="5"/>
  <c r="K350" i="5"/>
  <c r="K629" i="5"/>
  <c r="K80" i="6"/>
  <c r="K370" i="6"/>
  <c r="O599" i="6"/>
  <c r="K633" i="6"/>
  <c r="L57" i="7"/>
  <c r="L55" i="7" s="1"/>
  <c r="L53" i="7" s="1"/>
  <c r="K426" i="7"/>
  <c r="K430" i="7"/>
  <c r="K435" i="7"/>
  <c r="O455" i="7"/>
  <c r="O459" i="7"/>
  <c r="K497" i="7"/>
  <c r="K533" i="7"/>
  <c r="L294" i="8"/>
  <c r="O294" i="8" s="1"/>
  <c r="K417" i="8"/>
  <c r="K421" i="8"/>
  <c r="K633" i="8"/>
  <c r="N96" i="9"/>
  <c r="N94" i="9" s="1"/>
  <c r="K396" i="10"/>
  <c r="K401" i="10"/>
  <c r="K421" i="10"/>
  <c r="O437" i="10"/>
  <c r="K650" i="10"/>
  <c r="K199" i="11"/>
  <c r="K380" i="11"/>
  <c r="K497" i="11"/>
  <c r="K628" i="11"/>
  <c r="N68" i="12"/>
  <c r="N66" i="12" s="1"/>
  <c r="L275" i="12"/>
  <c r="L273" i="12" s="1"/>
  <c r="O273" i="12" s="1"/>
  <c r="O383" i="12"/>
  <c r="K418" i="12"/>
  <c r="K580" i="12"/>
  <c r="K589" i="12"/>
  <c r="K593" i="12"/>
  <c r="O665" i="12"/>
  <c r="K402" i="13"/>
  <c r="K427" i="13"/>
  <c r="O439" i="13"/>
  <c r="K466" i="13"/>
  <c r="K649" i="13"/>
  <c r="K564" i="14"/>
  <c r="K668" i="14"/>
  <c r="K235" i="15"/>
  <c r="L144" i="16"/>
  <c r="L142" i="16" s="1"/>
  <c r="K402" i="16"/>
  <c r="O406" i="16"/>
  <c r="K65" i="17"/>
  <c r="L70" i="17"/>
  <c r="K80" i="17"/>
  <c r="K267" i="17"/>
  <c r="O439" i="17"/>
  <c r="P144" i="18"/>
  <c r="K235" i="18"/>
  <c r="K306" i="18"/>
  <c r="L275" i="19"/>
  <c r="O275" i="19" s="1"/>
  <c r="K285" i="19"/>
  <c r="K426" i="19"/>
  <c r="O564" i="19"/>
  <c r="K149" i="20"/>
  <c r="K199" i="20"/>
  <c r="L254" i="20"/>
  <c r="O254" i="20" s="1"/>
  <c r="L314" i="20"/>
  <c r="O314" i="20" s="1"/>
  <c r="O347" i="20"/>
  <c r="O564" i="20"/>
  <c r="L45" i="21"/>
  <c r="O45" i="21" s="1"/>
  <c r="K64" i="21"/>
  <c r="L254" i="21"/>
  <c r="L252" i="21" s="1"/>
  <c r="L250" i="21" s="1"/>
  <c r="O404" i="21"/>
  <c r="K580" i="21"/>
  <c r="K593" i="21"/>
  <c r="K634" i="21"/>
  <c r="K650" i="21"/>
  <c r="K149" i="22"/>
  <c r="L314" i="22"/>
  <c r="L312" i="22" s="1"/>
  <c r="K427" i="22"/>
  <c r="K628" i="22"/>
  <c r="K421" i="15"/>
  <c r="K450" i="15"/>
  <c r="L314" i="16"/>
  <c r="O671" i="17"/>
  <c r="K372" i="19"/>
  <c r="K633" i="19"/>
  <c r="K235" i="20"/>
  <c r="L45" i="22"/>
  <c r="L43" i="22" s="1"/>
  <c r="L294" i="22"/>
  <c r="O294" i="22" s="1"/>
  <c r="O582" i="4"/>
  <c r="K649" i="4"/>
  <c r="J671" i="4"/>
  <c r="K671" i="4" s="1"/>
  <c r="K266" i="6"/>
  <c r="O401" i="6"/>
  <c r="K426" i="6"/>
  <c r="K473" i="6"/>
  <c r="M68" i="7"/>
  <c r="P68" i="7" s="1"/>
  <c r="K270" i="8"/>
  <c r="N273" i="8"/>
  <c r="K368" i="8"/>
  <c r="K631" i="8"/>
  <c r="K635" i="8"/>
  <c r="O671" i="8"/>
  <c r="L144" i="11"/>
  <c r="O144" i="11" s="1"/>
  <c r="O347" i="11"/>
  <c r="K381" i="11"/>
  <c r="K597" i="11"/>
  <c r="K93" i="12"/>
  <c r="O385" i="12"/>
  <c r="O566" i="12"/>
  <c r="L254" i="13"/>
  <c r="O254" i="13" s="1"/>
  <c r="O665" i="13"/>
  <c r="K633" i="14"/>
  <c r="N68" i="16"/>
  <c r="N66" i="16" s="1"/>
  <c r="K635" i="16"/>
  <c r="O648" i="16"/>
  <c r="N96" i="18"/>
  <c r="N94" i="18" s="1"/>
  <c r="K381" i="19"/>
  <c r="O385" i="19"/>
  <c r="J651" i="19"/>
  <c r="L45" i="20"/>
  <c r="O45" i="20" s="1"/>
  <c r="K229" i="20"/>
  <c r="N331" i="20"/>
  <c r="N329" i="20" s="1"/>
  <c r="K421" i="20"/>
  <c r="K429" i="20"/>
  <c r="O661" i="20"/>
  <c r="K547" i="21"/>
  <c r="N142" i="22"/>
  <c r="N140" i="22" s="1"/>
  <c r="O601" i="6"/>
  <c r="K631" i="6"/>
  <c r="K635" i="6"/>
  <c r="P224" i="7"/>
  <c r="O597" i="7"/>
  <c r="O601" i="7"/>
  <c r="K564" i="8"/>
  <c r="K663" i="8"/>
  <c r="K229" i="9"/>
  <c r="L314" i="9"/>
  <c r="O314" i="9" s="1"/>
  <c r="I367" i="9"/>
  <c r="K367" i="9" s="1"/>
  <c r="K423" i="9"/>
  <c r="O435" i="9"/>
  <c r="J651" i="9"/>
  <c r="K402" i="10"/>
  <c r="O406" i="10"/>
  <c r="K158" i="12"/>
  <c r="K138" i="13"/>
  <c r="P333" i="13"/>
  <c r="K425" i="13"/>
  <c r="K429" i="13"/>
  <c r="O437" i="13"/>
  <c r="K597" i="13"/>
  <c r="L122" i="15"/>
  <c r="O122" i="15" s="1"/>
  <c r="K266" i="15"/>
  <c r="O533" i="15"/>
  <c r="O537" i="15"/>
  <c r="K425" i="16"/>
  <c r="O437" i="17"/>
  <c r="L98" i="18"/>
  <c r="L96" i="18" s="1"/>
  <c r="O347" i="18"/>
  <c r="O380" i="18"/>
  <c r="O406" i="18"/>
  <c r="O380" i="21"/>
  <c r="O401" i="22"/>
  <c r="K200" i="5"/>
  <c r="O601" i="5"/>
  <c r="N96" i="6"/>
  <c r="N94" i="6" s="1"/>
  <c r="N96" i="8"/>
  <c r="N94" i="8" s="1"/>
  <c r="N222" i="8"/>
  <c r="N220" i="8" s="1"/>
  <c r="N292" i="9"/>
  <c r="N290" i="9" s="1"/>
  <c r="N312" i="15"/>
  <c r="N310" i="15" s="1"/>
  <c r="K649" i="16"/>
  <c r="N292" i="17"/>
  <c r="K497" i="17"/>
  <c r="J651" i="17"/>
  <c r="K651" i="17" s="1"/>
  <c r="K176" i="18"/>
  <c r="L224" i="18"/>
  <c r="L222" i="18" s="1"/>
  <c r="K304" i="18"/>
  <c r="K449" i="18"/>
  <c r="O457" i="18"/>
  <c r="K589" i="18"/>
  <c r="K597" i="18"/>
  <c r="K630" i="18"/>
  <c r="K634" i="18"/>
  <c r="K429" i="19"/>
  <c r="O584" i="19"/>
  <c r="O601" i="19"/>
  <c r="J651" i="20"/>
  <c r="K482" i="21"/>
  <c r="N120" i="5"/>
  <c r="N118" i="5" s="1"/>
  <c r="K201" i="5"/>
  <c r="N273" i="5"/>
  <c r="N271" i="5" s="1"/>
  <c r="N33" i="5"/>
  <c r="N13" i="5" s="1"/>
  <c r="K372" i="5"/>
  <c r="O380" i="5"/>
  <c r="O455" i="5"/>
  <c r="O459" i="5"/>
  <c r="K465" i="5"/>
  <c r="K65" i="6"/>
  <c r="N68" i="6"/>
  <c r="N66" i="6" s="1"/>
  <c r="K219" i="6"/>
  <c r="L224" i="6"/>
  <c r="O224" i="6" s="1"/>
  <c r="K649" i="6"/>
  <c r="N43" i="7"/>
  <c r="L294" i="7"/>
  <c r="O294" i="7" s="1"/>
  <c r="K619" i="7"/>
  <c r="P45" i="8"/>
  <c r="N68" i="8"/>
  <c r="N66" i="8" s="1"/>
  <c r="P98" i="8"/>
  <c r="K158" i="9"/>
  <c r="P224" i="9"/>
  <c r="K369" i="9"/>
  <c r="K634" i="9"/>
  <c r="O661" i="9"/>
  <c r="O533" i="10"/>
  <c r="N68" i="11"/>
  <c r="N66" i="11" s="1"/>
  <c r="N142" i="11"/>
  <c r="N140" i="11" s="1"/>
  <c r="N222" i="11"/>
  <c r="N220" i="11" s="1"/>
  <c r="K421" i="11"/>
  <c r="O601" i="11"/>
  <c r="O102" i="12"/>
  <c r="K109" i="12"/>
  <c r="N120" i="12"/>
  <c r="N118" i="12" s="1"/>
  <c r="K340" i="12"/>
  <c r="O352" i="12"/>
  <c r="O437" i="12"/>
  <c r="K455" i="12"/>
  <c r="O535" i="12"/>
  <c r="K649" i="12"/>
  <c r="K86" i="13"/>
  <c r="K635" i="13"/>
  <c r="N312" i="14"/>
  <c r="N310" i="14" s="1"/>
  <c r="K350" i="15"/>
  <c r="K376" i="15"/>
  <c r="K64" i="17"/>
  <c r="K341" i="17"/>
  <c r="O349" i="17"/>
  <c r="K397" i="17"/>
  <c r="K418" i="17"/>
  <c r="N312" i="18"/>
  <c r="N310" i="18" s="1"/>
  <c r="K340" i="18"/>
  <c r="K113" i="19"/>
  <c r="N120" i="19"/>
  <c r="P120" i="19" s="1"/>
  <c r="L57" i="20"/>
  <c r="L55" i="20" s="1"/>
  <c r="N222" i="20"/>
  <c r="P222" i="20" s="1"/>
  <c r="K86" i="21"/>
  <c r="K498" i="21"/>
  <c r="K376" i="22"/>
  <c r="K189" i="2"/>
  <c r="K249" i="2"/>
  <c r="I345" i="1"/>
  <c r="L349" i="1"/>
  <c r="J621" i="1"/>
  <c r="K345" i="3"/>
  <c r="J510" i="1"/>
  <c r="L57" i="4"/>
  <c r="L55" i="4" s="1"/>
  <c r="L53" i="4" s="1"/>
  <c r="J88" i="1"/>
  <c r="J128" i="1"/>
  <c r="J134" i="1"/>
  <c r="J149" i="1"/>
  <c r="J181" i="1"/>
  <c r="J197" i="1"/>
  <c r="L384" i="1"/>
  <c r="O384" i="1" s="1"/>
  <c r="O401" i="4"/>
  <c r="O354" i="11"/>
  <c r="L34" i="11"/>
  <c r="K430" i="12"/>
  <c r="M254" i="1"/>
  <c r="N298" i="1"/>
  <c r="I426" i="1"/>
  <c r="I510" i="1"/>
  <c r="K510" i="1" s="1"/>
  <c r="L584" i="1"/>
  <c r="K158" i="2"/>
  <c r="K229" i="2"/>
  <c r="P254" i="2"/>
  <c r="K267" i="2"/>
  <c r="K398" i="2"/>
  <c r="K419" i="2"/>
  <c r="K423" i="2"/>
  <c r="I524" i="1"/>
  <c r="N566" i="1"/>
  <c r="N572" i="1"/>
  <c r="I614" i="1"/>
  <c r="L148" i="1"/>
  <c r="O148" i="1" s="1"/>
  <c r="J164" i="1"/>
  <c r="J185" i="1"/>
  <c r="J195" i="1"/>
  <c r="J201" i="1"/>
  <c r="J212" i="1"/>
  <c r="J218" i="1"/>
  <c r="O383" i="3"/>
  <c r="N389" i="1"/>
  <c r="N33" i="3"/>
  <c r="N13" i="3" s="1"/>
  <c r="J413" i="1"/>
  <c r="K422" i="3"/>
  <c r="K426" i="3"/>
  <c r="K430" i="3"/>
  <c r="K435" i="3"/>
  <c r="O537" i="3"/>
  <c r="K619" i="3"/>
  <c r="K614" i="3"/>
  <c r="K663" i="3"/>
  <c r="K215" i="4"/>
  <c r="K235" i="4"/>
  <c r="M312" i="4"/>
  <c r="M310" i="4" s="1"/>
  <c r="P310" i="4" s="1"/>
  <c r="K350" i="4"/>
  <c r="O354" i="4"/>
  <c r="K368" i="4"/>
  <c r="K419" i="4"/>
  <c r="K430" i="4"/>
  <c r="K435" i="4"/>
  <c r="K451" i="4"/>
  <c r="O455" i="4"/>
  <c r="K423" i="6"/>
  <c r="K427" i="6"/>
  <c r="K431" i="6"/>
  <c r="O435" i="6"/>
  <c r="O439" i="6"/>
  <c r="K497" i="6"/>
  <c r="O536" i="6"/>
  <c r="L33" i="6"/>
  <c r="O33" i="6" s="1"/>
  <c r="L34" i="10"/>
  <c r="K368" i="12"/>
  <c r="L47" i="1"/>
  <c r="K65" i="2"/>
  <c r="L71" i="1"/>
  <c r="O435" i="2"/>
  <c r="J512" i="1"/>
  <c r="O535" i="2"/>
  <c r="J548" i="1"/>
  <c r="N552" i="1"/>
  <c r="N557" i="1"/>
  <c r="J610" i="1"/>
  <c r="L661" i="1"/>
  <c r="N68" i="3"/>
  <c r="N66" i="3" s="1"/>
  <c r="J83" i="1"/>
  <c r="L122" i="3"/>
  <c r="O122" i="3" s="1"/>
  <c r="L224" i="3"/>
  <c r="O224" i="3" s="1"/>
  <c r="N34" i="3"/>
  <c r="N14" i="3" s="1"/>
  <c r="O435" i="3"/>
  <c r="N68" i="4"/>
  <c r="N66" i="4" s="1"/>
  <c r="L314" i="6"/>
  <c r="O314" i="6" s="1"/>
  <c r="L455" i="1"/>
  <c r="I594" i="1"/>
  <c r="K594" i="1" s="1"/>
  <c r="J170" i="1"/>
  <c r="J176" i="1"/>
  <c r="J186" i="1"/>
  <c r="J196" i="1"/>
  <c r="I264" i="1"/>
  <c r="J268" i="1"/>
  <c r="L316" i="1"/>
  <c r="O354" i="2"/>
  <c r="K482" i="2"/>
  <c r="I521" i="1"/>
  <c r="N558" i="1"/>
  <c r="K635" i="2"/>
  <c r="L648" i="1"/>
  <c r="N661" i="1"/>
  <c r="K80" i="3"/>
  <c r="M312" i="3"/>
  <c r="P312" i="3" s="1"/>
  <c r="I612" i="1"/>
  <c r="N120" i="4"/>
  <c r="N118" i="4" s="1"/>
  <c r="N292" i="4"/>
  <c r="N290" i="4" s="1"/>
  <c r="O347" i="4"/>
  <c r="N68" i="5"/>
  <c r="N66" i="5" s="1"/>
  <c r="N96" i="5"/>
  <c r="N94" i="5" s="1"/>
  <c r="I86" i="1"/>
  <c r="L383" i="1"/>
  <c r="I514" i="1"/>
  <c r="K514" i="1" s="1"/>
  <c r="O49" i="2"/>
  <c r="I85" i="1"/>
  <c r="K149" i="2"/>
  <c r="I479" i="1"/>
  <c r="K479" i="1" s="1"/>
  <c r="I483" i="1"/>
  <c r="K483" i="1" s="1"/>
  <c r="J505" i="1"/>
  <c r="J509" i="1"/>
  <c r="J513" i="1"/>
  <c r="J544" i="1"/>
  <c r="L650" i="1"/>
  <c r="J656" i="1"/>
  <c r="J666" i="1"/>
  <c r="K249" i="3"/>
  <c r="K474" i="3"/>
  <c r="K497" i="3"/>
  <c r="J651" i="3"/>
  <c r="K651" i="3" s="1"/>
  <c r="K216" i="4"/>
  <c r="N312" i="4"/>
  <c r="N310" i="4" s="1"/>
  <c r="K424" i="4"/>
  <c r="N252" i="8"/>
  <c r="N250" i="8" s="1"/>
  <c r="K428" i="13"/>
  <c r="I464" i="1"/>
  <c r="I488" i="1"/>
  <c r="K488" i="1" s="1"/>
  <c r="I506" i="1"/>
  <c r="K506" i="1" s="1"/>
  <c r="L600" i="1"/>
  <c r="O600" i="1" s="1"/>
  <c r="K199" i="2"/>
  <c r="N252" i="2"/>
  <c r="N250" i="2" s="1"/>
  <c r="K429" i="2"/>
  <c r="O437" i="2"/>
  <c r="K455" i="2"/>
  <c r="J475" i="1"/>
  <c r="J479" i="1"/>
  <c r="J483" i="1"/>
  <c r="I487" i="1"/>
  <c r="K487" i="1" s="1"/>
  <c r="I518" i="1"/>
  <c r="I530" i="1"/>
  <c r="K551" i="2"/>
  <c r="K560" i="2"/>
  <c r="N564" i="1"/>
  <c r="L254" i="3"/>
  <c r="L252" i="3" s="1"/>
  <c r="K264" i="3"/>
  <c r="O535" i="3"/>
  <c r="K93" i="4"/>
  <c r="K108" i="4"/>
  <c r="K201" i="4"/>
  <c r="J265" i="1"/>
  <c r="L294" i="4"/>
  <c r="L292" i="4" s="1"/>
  <c r="K401" i="4"/>
  <c r="O404" i="4"/>
  <c r="K421" i="4"/>
  <c r="K482" i="4"/>
  <c r="K199" i="5"/>
  <c r="O383" i="7"/>
  <c r="K422" i="7"/>
  <c r="K630" i="8"/>
  <c r="K650" i="8"/>
  <c r="O661" i="8"/>
  <c r="K229" i="10"/>
  <c r="L57" i="11"/>
  <c r="L55" i="11" s="1"/>
  <c r="I451" i="1"/>
  <c r="I589" i="1"/>
  <c r="I633" i="1"/>
  <c r="J417" i="1"/>
  <c r="J421" i="1"/>
  <c r="J429" i="1"/>
  <c r="J434" i="1"/>
  <c r="K173" i="3"/>
  <c r="K189" i="3"/>
  <c r="L294" i="3"/>
  <c r="O294" i="3" s="1"/>
  <c r="K401" i="3"/>
  <c r="O437" i="3"/>
  <c r="K634" i="3"/>
  <c r="O661" i="3"/>
  <c r="L275" i="4"/>
  <c r="O275" i="4" s="1"/>
  <c r="P337" i="4"/>
  <c r="N32" i="4"/>
  <c r="N30" i="4" s="1"/>
  <c r="K375" i="4"/>
  <c r="K380" i="4"/>
  <c r="K173" i="7"/>
  <c r="K189" i="7"/>
  <c r="O383" i="11"/>
  <c r="K397" i="11"/>
  <c r="O401" i="11"/>
  <c r="K422" i="11"/>
  <c r="J412" i="1"/>
  <c r="I418" i="1"/>
  <c r="I422" i="1"/>
  <c r="O564" i="12"/>
  <c r="O279" i="19"/>
  <c r="K110" i="5"/>
  <c r="N142" i="5"/>
  <c r="N140" i="5" s="1"/>
  <c r="K343" i="5"/>
  <c r="K426" i="5"/>
  <c r="K430" i="5"/>
  <c r="J671" i="5"/>
  <c r="J651" i="6"/>
  <c r="N33" i="7"/>
  <c r="N13" i="7" s="1"/>
  <c r="K422" i="8"/>
  <c r="K429" i="8"/>
  <c r="K398" i="10"/>
  <c r="L70" i="11"/>
  <c r="L68" i="11" s="1"/>
  <c r="O68" i="11" s="1"/>
  <c r="L122" i="13"/>
  <c r="O122" i="13" s="1"/>
  <c r="K200" i="13"/>
  <c r="P294" i="15"/>
  <c r="M292" i="15"/>
  <c r="P292" i="15" s="1"/>
  <c r="K595" i="4"/>
  <c r="K635" i="5"/>
  <c r="K88" i="6"/>
  <c r="O404" i="6"/>
  <c r="K618" i="6"/>
  <c r="K419" i="7"/>
  <c r="K423" i="7"/>
  <c r="L224" i="8"/>
  <c r="O224" i="8" s="1"/>
  <c r="K285" i="8"/>
  <c r="K622" i="8"/>
  <c r="O601" i="9"/>
  <c r="O435" i="10"/>
  <c r="O439" i="10"/>
  <c r="O537" i="10"/>
  <c r="J651" i="11"/>
  <c r="K267" i="12"/>
  <c r="K381" i="12"/>
  <c r="K65" i="13"/>
  <c r="K421" i="13"/>
  <c r="K455" i="13"/>
  <c r="K497" i="16"/>
  <c r="N273" i="17"/>
  <c r="N271" i="17" s="1"/>
  <c r="P275" i="17"/>
  <c r="K473" i="4"/>
  <c r="O668" i="4"/>
  <c r="K92" i="5"/>
  <c r="P98" i="5"/>
  <c r="K111" i="5"/>
  <c r="L254" i="5"/>
  <c r="L252" i="5" s="1"/>
  <c r="L250" i="5" s="1"/>
  <c r="L294" i="5"/>
  <c r="L292" i="5" s="1"/>
  <c r="K340" i="5"/>
  <c r="O347" i="5"/>
  <c r="O537" i="5"/>
  <c r="N644" i="5"/>
  <c r="N640" i="5" s="1"/>
  <c r="N638" i="5" s="1"/>
  <c r="N636" i="5" s="1"/>
  <c r="K229" i="6"/>
  <c r="N292" i="6"/>
  <c r="N290" i="6" s="1"/>
  <c r="K464" i="6"/>
  <c r="K628" i="6"/>
  <c r="K665" i="6"/>
  <c r="N68" i="7"/>
  <c r="N66" i="7" s="1"/>
  <c r="N292" i="7"/>
  <c r="N312" i="7"/>
  <c r="N310" i="7" s="1"/>
  <c r="N34" i="7"/>
  <c r="N14" i="7" s="1"/>
  <c r="P144" i="8"/>
  <c r="L314" i="8"/>
  <c r="L312" i="8" s="1"/>
  <c r="K377" i="8"/>
  <c r="K398" i="8"/>
  <c r="O533" i="8"/>
  <c r="M120" i="9"/>
  <c r="P120" i="9" s="1"/>
  <c r="K149" i="9"/>
  <c r="L254" i="9"/>
  <c r="O254" i="9" s="1"/>
  <c r="L294" i="9"/>
  <c r="O294" i="9" s="1"/>
  <c r="K533" i="9"/>
  <c r="K564" i="9"/>
  <c r="N252" i="10"/>
  <c r="N250" i="10" s="1"/>
  <c r="O347" i="10"/>
  <c r="K381" i="10"/>
  <c r="K416" i="10"/>
  <c r="K620" i="10"/>
  <c r="N273" i="11"/>
  <c r="N271" i="11" s="1"/>
  <c r="K328" i="11"/>
  <c r="K466" i="11"/>
  <c r="L45" i="12"/>
  <c r="L43" i="12" s="1"/>
  <c r="K199" i="12"/>
  <c r="L294" i="12"/>
  <c r="O294" i="12" s="1"/>
  <c r="K370" i="12"/>
  <c r="K416" i="12"/>
  <c r="K424" i="12"/>
  <c r="K449" i="12"/>
  <c r="O584" i="12"/>
  <c r="K648" i="12"/>
  <c r="K80" i="13"/>
  <c r="N292" i="14"/>
  <c r="N290" i="14" s="1"/>
  <c r="K93" i="16"/>
  <c r="N43" i="8"/>
  <c r="N41" i="8" s="1"/>
  <c r="N142" i="8"/>
  <c r="N140" i="8" s="1"/>
  <c r="N292" i="8"/>
  <c r="N290" i="8" s="1"/>
  <c r="N273" i="9"/>
  <c r="N271" i="9" s="1"/>
  <c r="N312" i="13"/>
  <c r="N310" i="13" s="1"/>
  <c r="N32" i="19"/>
  <c r="N30" i="19" s="1"/>
  <c r="K158" i="5"/>
  <c r="P275" i="5"/>
  <c r="K349" i="5"/>
  <c r="O435" i="5"/>
  <c r="K620" i="5"/>
  <c r="L333" i="6"/>
  <c r="O333" i="6" s="1"/>
  <c r="O349" i="6"/>
  <c r="O383" i="6"/>
  <c r="K149" i="7"/>
  <c r="L254" i="7"/>
  <c r="O254" i="7" s="1"/>
  <c r="L32" i="7"/>
  <c r="L30" i="7" s="1"/>
  <c r="N31" i="7"/>
  <c r="N29" i="7" s="1"/>
  <c r="N32" i="7"/>
  <c r="N30" i="7" s="1"/>
  <c r="K635" i="7"/>
  <c r="K416" i="8"/>
  <c r="O439" i="8"/>
  <c r="O649" i="8"/>
  <c r="J671" i="8"/>
  <c r="K671" i="8" s="1"/>
  <c r="L254" i="10"/>
  <c r="L252" i="10" s="1"/>
  <c r="O252" i="10" s="1"/>
  <c r="N292" i="10"/>
  <c r="N290" i="10" s="1"/>
  <c r="N331" i="10"/>
  <c r="P331" i="10" s="1"/>
  <c r="L275" i="11"/>
  <c r="O275" i="11" s="1"/>
  <c r="N312" i="11"/>
  <c r="N310" i="11" s="1"/>
  <c r="I367" i="11"/>
  <c r="K367" i="11" s="1"/>
  <c r="N55" i="12"/>
  <c r="N53" i="12" s="1"/>
  <c r="N142" i="12"/>
  <c r="N140" i="12" s="1"/>
  <c r="N222" i="12"/>
  <c r="P222" i="12" s="1"/>
  <c r="N331" i="12"/>
  <c r="N329" i="12" s="1"/>
  <c r="K396" i="12"/>
  <c r="K573" i="12"/>
  <c r="O650" i="12"/>
  <c r="J651" i="12"/>
  <c r="K651" i="12" s="1"/>
  <c r="K149" i="13"/>
  <c r="N222" i="13"/>
  <c r="N220" i="13" s="1"/>
  <c r="P220" i="13" s="1"/>
  <c r="L314" i="13"/>
  <c r="I367" i="13"/>
  <c r="K367" i="13" s="1"/>
  <c r="K369" i="13"/>
  <c r="N120" i="15"/>
  <c r="N118" i="15" s="1"/>
  <c r="O649" i="17"/>
  <c r="N565" i="1"/>
  <c r="K580" i="4"/>
  <c r="K589" i="4"/>
  <c r="K593" i="4"/>
  <c r="O661" i="4"/>
  <c r="K112" i="5"/>
  <c r="K133" i="5"/>
  <c r="K149" i="5"/>
  <c r="K401" i="5"/>
  <c r="K474" i="5"/>
  <c r="K482" i="5"/>
  <c r="O597" i="5"/>
  <c r="K372" i="6"/>
  <c r="K398" i="6"/>
  <c r="K402" i="6"/>
  <c r="K435" i="6"/>
  <c r="N34" i="6"/>
  <c r="N14" i="6" s="1"/>
  <c r="O566" i="6"/>
  <c r="K597" i="6"/>
  <c r="K634" i="6"/>
  <c r="O661" i="6"/>
  <c r="N222" i="7"/>
  <c r="N220" i="7" s="1"/>
  <c r="K340" i="7"/>
  <c r="K429" i="7"/>
  <c r="O437" i="7"/>
  <c r="K450" i="7"/>
  <c r="K573" i="7"/>
  <c r="N644" i="7"/>
  <c r="N640" i="7" s="1"/>
  <c r="N638" i="7" s="1"/>
  <c r="N636" i="7" s="1"/>
  <c r="N120" i="8"/>
  <c r="N118" i="8" s="1"/>
  <c r="K547" i="8"/>
  <c r="L70" i="9"/>
  <c r="L68" i="9" s="1"/>
  <c r="L66" i="9" s="1"/>
  <c r="O66" i="9" s="1"/>
  <c r="N120" i="9"/>
  <c r="N118" i="9" s="1"/>
  <c r="N142" i="9"/>
  <c r="N140" i="9" s="1"/>
  <c r="L275" i="9"/>
  <c r="O275" i="9" s="1"/>
  <c r="K401" i="9"/>
  <c r="O404" i="9"/>
  <c r="K665" i="9"/>
  <c r="O668" i="9"/>
  <c r="K164" i="10"/>
  <c r="K397" i="10"/>
  <c r="K425" i="10"/>
  <c r="L122" i="11"/>
  <c r="L120" i="11" s="1"/>
  <c r="O120" i="11" s="1"/>
  <c r="K158" i="11"/>
  <c r="K229" i="11"/>
  <c r="L314" i="11"/>
  <c r="L312" i="11" s="1"/>
  <c r="O312" i="11" s="1"/>
  <c r="O437" i="11"/>
  <c r="K573" i="11"/>
  <c r="L98" i="12"/>
  <c r="O98" i="12" s="1"/>
  <c r="K112" i="12"/>
  <c r="L144" i="12"/>
  <c r="O144" i="12" s="1"/>
  <c r="N292" i="12"/>
  <c r="N290" i="12" s="1"/>
  <c r="K328" i="12"/>
  <c r="L333" i="12"/>
  <c r="O333" i="12" s="1"/>
  <c r="O349" i="12"/>
  <c r="O347" i="13"/>
  <c r="P45" i="14"/>
  <c r="N120" i="14"/>
  <c r="N118" i="14" s="1"/>
  <c r="N273" i="15"/>
  <c r="N271" i="15" s="1"/>
  <c r="K199" i="14"/>
  <c r="P224" i="14"/>
  <c r="K381" i="14"/>
  <c r="K398" i="14"/>
  <c r="O533" i="14"/>
  <c r="O537" i="14"/>
  <c r="K597" i="14"/>
  <c r="K229" i="15"/>
  <c r="K341" i="15"/>
  <c r="K375" i="15"/>
  <c r="K425" i="15"/>
  <c r="K189" i="16"/>
  <c r="K200" i="16"/>
  <c r="O337" i="16"/>
  <c r="K345" i="16"/>
  <c r="K418" i="16"/>
  <c r="K422" i="16"/>
  <c r="K597" i="16"/>
  <c r="O649" i="16"/>
  <c r="K133" i="17"/>
  <c r="K370" i="17"/>
  <c r="K381" i="17"/>
  <c r="K420" i="17"/>
  <c r="O457" i="17"/>
  <c r="K499" i="17"/>
  <c r="P70" i="18"/>
  <c r="L144" i="18"/>
  <c r="O144" i="18" s="1"/>
  <c r="K164" i="18"/>
  <c r="K270" i="18"/>
  <c r="K498" i="18"/>
  <c r="N273" i="19"/>
  <c r="L314" i="19"/>
  <c r="O314" i="19" s="1"/>
  <c r="O580" i="19"/>
  <c r="M312" i="20"/>
  <c r="P312" i="20" s="1"/>
  <c r="N312" i="20"/>
  <c r="N310" i="20" s="1"/>
  <c r="K635" i="20"/>
  <c r="K267" i="21"/>
  <c r="O385" i="21"/>
  <c r="K474" i="21"/>
  <c r="K573" i="21"/>
  <c r="K591" i="21"/>
  <c r="K595" i="21"/>
  <c r="K628" i="21"/>
  <c r="M292" i="22"/>
  <c r="P292" i="22" s="1"/>
  <c r="K349" i="22"/>
  <c r="L32" i="22"/>
  <c r="L30" i="22" s="1"/>
  <c r="K635" i="22"/>
  <c r="O599" i="13"/>
  <c r="K632" i="13"/>
  <c r="L144" i="14"/>
  <c r="L142" i="14" s="1"/>
  <c r="L140" i="14" s="1"/>
  <c r="K189" i="14"/>
  <c r="N31" i="14"/>
  <c r="N29" i="14" s="1"/>
  <c r="N32" i="14"/>
  <c r="N30" i="14" s="1"/>
  <c r="L98" i="15"/>
  <c r="O98" i="15" s="1"/>
  <c r="K270" i="15"/>
  <c r="P275" i="15"/>
  <c r="K345" i="15"/>
  <c r="O383" i="15"/>
  <c r="K435" i="15"/>
  <c r="L45" i="16"/>
  <c r="L43" i="16" s="1"/>
  <c r="L41" i="16" s="1"/>
  <c r="N96" i="16"/>
  <c r="N94" i="16" s="1"/>
  <c r="L122" i="16"/>
  <c r="O122" i="16" s="1"/>
  <c r="O380" i="16"/>
  <c r="K423" i="16"/>
  <c r="O566" i="16"/>
  <c r="O597" i="16"/>
  <c r="L45" i="17"/>
  <c r="O45" i="17" s="1"/>
  <c r="K421" i="17"/>
  <c r="K429" i="17"/>
  <c r="K455" i="17"/>
  <c r="K648" i="17"/>
  <c r="K396" i="18"/>
  <c r="O404" i="18"/>
  <c r="K499" i="18"/>
  <c r="K612" i="18"/>
  <c r="J651" i="18"/>
  <c r="L224" i="19"/>
  <c r="O224" i="19" s="1"/>
  <c r="L294" i="19"/>
  <c r="O294" i="19" s="1"/>
  <c r="K466" i="19"/>
  <c r="K474" i="19"/>
  <c r="K482" i="19"/>
  <c r="K498" i="19"/>
  <c r="O533" i="19"/>
  <c r="O537" i="19"/>
  <c r="K611" i="19"/>
  <c r="K615" i="19"/>
  <c r="K200" i="20"/>
  <c r="L333" i="20"/>
  <c r="O333" i="20" s="1"/>
  <c r="O599" i="20"/>
  <c r="K117" i="21"/>
  <c r="L144" i="21"/>
  <c r="O144" i="21" s="1"/>
  <c r="K173" i="21"/>
  <c r="P275" i="21"/>
  <c r="O651" i="21"/>
  <c r="J651" i="21"/>
  <c r="K651" i="21" s="1"/>
  <c r="O668" i="21"/>
  <c r="N43" i="21"/>
  <c r="P43" i="21" s="1"/>
  <c r="O459" i="13"/>
  <c r="O437" i="14"/>
  <c r="K398" i="15"/>
  <c r="K402" i="15"/>
  <c r="K597" i="15"/>
  <c r="O535" i="16"/>
  <c r="N120" i="17"/>
  <c r="N118" i="17" s="1"/>
  <c r="K650" i="17"/>
  <c r="K219" i="18"/>
  <c r="N252" i="18"/>
  <c r="N250" i="18" s="1"/>
  <c r="K397" i="18"/>
  <c r="K632" i="19"/>
  <c r="O650" i="19"/>
  <c r="L98" i="21"/>
  <c r="O98" i="21" s="1"/>
  <c r="M140" i="21"/>
  <c r="K341" i="21"/>
  <c r="K375" i="21"/>
  <c r="K425" i="21"/>
  <c r="K464" i="21"/>
  <c r="K173" i="22"/>
  <c r="K189" i="22"/>
  <c r="K200" i="22"/>
  <c r="N312" i="22"/>
  <c r="N310" i="22" s="1"/>
  <c r="O535" i="22"/>
  <c r="K629" i="22"/>
  <c r="K633" i="22"/>
  <c r="J671" i="22"/>
  <c r="L98" i="13"/>
  <c r="O98" i="13" s="1"/>
  <c r="K158" i="13"/>
  <c r="L70" i="14"/>
  <c r="L68" i="14" s="1"/>
  <c r="L122" i="14"/>
  <c r="O122" i="14" s="1"/>
  <c r="N222" i="14"/>
  <c r="N220" i="14" s="1"/>
  <c r="L224" i="15"/>
  <c r="O224" i="15" s="1"/>
  <c r="K423" i="15"/>
  <c r="K431" i="15"/>
  <c r="K466" i="15"/>
  <c r="N331" i="16"/>
  <c r="N329" i="16" s="1"/>
  <c r="J651" i="16"/>
  <c r="K229" i="17"/>
  <c r="N312" i="17"/>
  <c r="N310" i="17" s="1"/>
  <c r="O459" i="17"/>
  <c r="N55" i="19"/>
  <c r="N53" i="19" s="1"/>
  <c r="N292" i="19"/>
  <c r="N290" i="19" s="1"/>
  <c r="L333" i="19"/>
  <c r="L331" i="19" s="1"/>
  <c r="K397" i="19"/>
  <c r="K421" i="19"/>
  <c r="K425" i="19"/>
  <c r="L34" i="21"/>
  <c r="N96" i="22"/>
  <c r="N94" i="22" s="1"/>
  <c r="N142" i="13"/>
  <c r="N140" i="13" s="1"/>
  <c r="P224" i="13"/>
  <c r="L333" i="13"/>
  <c r="O333" i="13" s="1"/>
  <c r="O597" i="13"/>
  <c r="O601" i="13"/>
  <c r="L98" i="14"/>
  <c r="O98" i="14" s="1"/>
  <c r="K149" i="14"/>
  <c r="O380" i="14"/>
  <c r="O599" i="14"/>
  <c r="L45" i="15"/>
  <c r="O45" i="15" s="1"/>
  <c r="K138" i="15"/>
  <c r="L144" i="15"/>
  <c r="O144" i="15" s="1"/>
  <c r="K189" i="15"/>
  <c r="K200" i="15"/>
  <c r="K328" i="15"/>
  <c r="K424" i="15"/>
  <c r="K474" i="15"/>
  <c r="P102" i="16"/>
  <c r="K109" i="16"/>
  <c r="K113" i="16"/>
  <c r="K199" i="16"/>
  <c r="K340" i="16"/>
  <c r="K449" i="16"/>
  <c r="K498" i="16"/>
  <c r="O564" i="16"/>
  <c r="O568" i="16"/>
  <c r="O599" i="16"/>
  <c r="N33" i="17"/>
  <c r="N13" i="17" s="1"/>
  <c r="K419" i="17"/>
  <c r="K423" i="17"/>
  <c r="K498" i="17"/>
  <c r="K533" i="17"/>
  <c r="N120" i="18"/>
  <c r="N118" i="18" s="1"/>
  <c r="N142" i="18"/>
  <c r="P142" i="18" s="1"/>
  <c r="N222" i="18"/>
  <c r="P222" i="18" s="1"/>
  <c r="K398" i="18"/>
  <c r="K614" i="18"/>
  <c r="L122" i="19"/>
  <c r="O122" i="19" s="1"/>
  <c r="K229" i="19"/>
  <c r="K464" i="19"/>
  <c r="O535" i="19"/>
  <c r="K613" i="19"/>
  <c r="K617" i="19"/>
  <c r="K219" i="20"/>
  <c r="N55" i="21"/>
  <c r="N53" i="21" s="1"/>
  <c r="O671" i="21"/>
  <c r="N68" i="22"/>
  <c r="N66" i="22" s="1"/>
  <c r="N273" i="22"/>
  <c r="N271" i="22" s="1"/>
  <c r="K564" i="22"/>
  <c r="O25" i="1"/>
  <c r="L15" i="1"/>
  <c r="O15" i="1" s="1"/>
  <c r="K591" i="2"/>
  <c r="I591" i="1"/>
  <c r="J422" i="1"/>
  <c r="L598" i="1"/>
  <c r="O598" i="1" s="1"/>
  <c r="M21" i="1"/>
  <c r="P21" i="1" s="1"/>
  <c r="I80" i="1"/>
  <c r="L99" i="1"/>
  <c r="I158" i="1"/>
  <c r="J435" i="1"/>
  <c r="N349" i="1"/>
  <c r="O349" i="1" s="1"/>
  <c r="O349" i="2"/>
  <c r="O601" i="2"/>
  <c r="L601" i="1"/>
  <c r="P275" i="3"/>
  <c r="N275" i="1"/>
  <c r="I339" i="1"/>
  <c r="K339" i="1" s="1"/>
  <c r="K339" i="2"/>
  <c r="I497" i="1"/>
  <c r="K497" i="2"/>
  <c r="L58" i="1"/>
  <c r="I213" i="1"/>
  <c r="I219" i="1"/>
  <c r="I289" i="1"/>
  <c r="I376" i="1"/>
  <c r="I398" i="1"/>
  <c r="K398" i="1" s="1"/>
  <c r="N535" i="1"/>
  <c r="I471" i="1"/>
  <c r="K471" i="1" s="1"/>
  <c r="I475" i="1"/>
  <c r="K475" i="1" s="1"/>
  <c r="P32" i="4"/>
  <c r="M30" i="4"/>
  <c r="P30" i="4" s="1"/>
  <c r="J376" i="1"/>
  <c r="L437" i="1"/>
  <c r="I482" i="1"/>
  <c r="L225" i="1"/>
  <c r="I108" i="1"/>
  <c r="M119" i="1"/>
  <c r="P119" i="1" s="1"/>
  <c r="N49" i="1"/>
  <c r="O49" i="1" s="1"/>
  <c r="I84" i="1"/>
  <c r="K84" i="1" s="1"/>
  <c r="L124" i="1"/>
  <c r="J426" i="1"/>
  <c r="L552" i="1"/>
  <c r="O552" i="1" s="1"/>
  <c r="K110" i="2"/>
  <c r="O404" i="2"/>
  <c r="N32" i="2"/>
  <c r="N30" i="2" s="1"/>
  <c r="J425" i="1"/>
  <c r="M14" i="3"/>
  <c r="P14" i="3" s="1"/>
  <c r="K629" i="3"/>
  <c r="I629" i="1"/>
  <c r="L665" i="1"/>
  <c r="K112" i="2"/>
  <c r="N21" i="1"/>
  <c r="N354" i="1"/>
  <c r="I427" i="1"/>
  <c r="I478" i="1"/>
  <c r="K478" i="1" s="1"/>
  <c r="J533" i="1"/>
  <c r="I593" i="1"/>
  <c r="L45" i="2"/>
  <c r="O45" i="2" s="1"/>
  <c r="J105" i="1"/>
  <c r="M250" i="2"/>
  <c r="I507" i="1"/>
  <c r="K507" i="1" s="1"/>
  <c r="I561" i="1"/>
  <c r="K561" i="1" s="1"/>
  <c r="J171" i="1"/>
  <c r="I367" i="2"/>
  <c r="K367" i="2" s="1"/>
  <c r="K402" i="2"/>
  <c r="K431" i="2"/>
  <c r="I513" i="1"/>
  <c r="K513" i="1" s="1"/>
  <c r="J561" i="1"/>
  <c r="N598" i="1"/>
  <c r="O661" i="2"/>
  <c r="L31" i="3"/>
  <c r="L11" i="3" s="1"/>
  <c r="K186" i="3"/>
  <c r="K213" i="3"/>
  <c r="P254" i="3"/>
  <c r="K267" i="3"/>
  <c r="K398" i="3"/>
  <c r="O566" i="3"/>
  <c r="K617" i="3"/>
  <c r="O665" i="3"/>
  <c r="P45" i="4"/>
  <c r="K110" i="4"/>
  <c r="P144" i="4"/>
  <c r="K266" i="4"/>
  <c r="K328" i="4"/>
  <c r="K398" i="4"/>
  <c r="K402" i="4"/>
  <c r="K426" i="4"/>
  <c r="K455" i="4"/>
  <c r="K464" i="4"/>
  <c r="K633" i="4"/>
  <c r="L15" i="5"/>
  <c r="O15" i="5" s="1"/>
  <c r="P122" i="5"/>
  <c r="K164" i="5"/>
  <c r="M252" i="5"/>
  <c r="P252" i="5" s="1"/>
  <c r="O535" i="8"/>
  <c r="P314" i="9"/>
  <c r="M312" i="9"/>
  <c r="P312" i="9" s="1"/>
  <c r="O554" i="9"/>
  <c r="L33" i="9"/>
  <c r="O33" i="9" s="1"/>
  <c r="M140" i="13"/>
  <c r="J517" i="1"/>
  <c r="J529" i="1"/>
  <c r="L566" i="1"/>
  <c r="I619" i="1"/>
  <c r="J646" i="1"/>
  <c r="N650" i="1"/>
  <c r="M19" i="3"/>
  <c r="M120" i="3"/>
  <c r="P120" i="3" s="1"/>
  <c r="K612" i="3"/>
  <c r="P29" i="9"/>
  <c r="L144" i="2"/>
  <c r="L142" i="2" s="1"/>
  <c r="K204" i="2"/>
  <c r="K309" i="2"/>
  <c r="L314" i="2"/>
  <c r="O314" i="2" s="1"/>
  <c r="K324" i="2"/>
  <c r="K370" i="2"/>
  <c r="K428" i="2"/>
  <c r="J485" i="1"/>
  <c r="O533" i="2"/>
  <c r="N603" i="1"/>
  <c r="K622" i="2"/>
  <c r="P31" i="3"/>
  <c r="P45" i="3"/>
  <c r="K81" i="3"/>
  <c r="L98" i="3"/>
  <c r="O98" i="3" s="1"/>
  <c r="K149" i="3"/>
  <c r="K199" i="3"/>
  <c r="K204" i="3"/>
  <c r="K328" i="3"/>
  <c r="O455" i="3"/>
  <c r="K465" i="3"/>
  <c r="K573" i="3"/>
  <c r="O597" i="3"/>
  <c r="K615" i="3"/>
  <c r="K630" i="3"/>
  <c r="J671" i="3"/>
  <c r="K671" i="3" s="1"/>
  <c r="L45" i="4"/>
  <c r="O45" i="4" s="1"/>
  <c r="K111" i="4"/>
  <c r="K117" i="4"/>
  <c r="K189" i="4"/>
  <c r="K204" i="4"/>
  <c r="K267" i="4"/>
  <c r="K285" i="4"/>
  <c r="K340" i="4"/>
  <c r="K498" i="4"/>
  <c r="O533" i="4"/>
  <c r="O537" i="4"/>
  <c r="K564" i="4"/>
  <c r="L19" i="5"/>
  <c r="O19" i="5" s="1"/>
  <c r="K93" i="5"/>
  <c r="K138" i="5"/>
  <c r="M222" i="5"/>
  <c r="P222" i="5" s="1"/>
  <c r="P21" i="8"/>
  <c r="M11" i="8"/>
  <c r="L224" i="2"/>
  <c r="L222" i="2" s="1"/>
  <c r="L220" i="2" s="1"/>
  <c r="K265" i="2"/>
  <c r="P275" i="2"/>
  <c r="J282" i="1"/>
  <c r="K396" i="2"/>
  <c r="K417" i="2"/>
  <c r="K421" i="2"/>
  <c r="O537" i="2"/>
  <c r="K597" i="2"/>
  <c r="L649" i="1"/>
  <c r="K270" i="3"/>
  <c r="K341" i="3"/>
  <c r="K473" i="3"/>
  <c r="K498" i="3"/>
  <c r="K547" i="3"/>
  <c r="O564" i="3"/>
  <c r="O568" i="3"/>
  <c r="K618" i="3"/>
  <c r="K635" i="3"/>
  <c r="N96" i="4"/>
  <c r="N94" i="4" s="1"/>
  <c r="K132" i="4"/>
  <c r="K164" i="4"/>
  <c r="K200" i="4"/>
  <c r="K229" i="4"/>
  <c r="L254" i="4"/>
  <c r="O254" i="4" s="1"/>
  <c r="O352" i="4"/>
  <c r="K416" i="4"/>
  <c r="K420" i="4"/>
  <c r="O439" i="4"/>
  <c r="K573" i="4"/>
  <c r="K665" i="4"/>
  <c r="L57" i="5"/>
  <c r="O57" i="5" s="1"/>
  <c r="K108" i="5"/>
  <c r="L122" i="5"/>
  <c r="P144" i="5"/>
  <c r="K213" i="5"/>
  <c r="K306" i="5"/>
  <c r="O600" i="7"/>
  <c r="L33" i="7"/>
  <c r="O33" i="7" s="1"/>
  <c r="K618" i="8"/>
  <c r="M14" i="9"/>
  <c r="P14" i="9" s="1"/>
  <c r="P24" i="9"/>
  <c r="L26" i="9"/>
  <c r="L16" i="9" s="1"/>
  <c r="N651" i="1"/>
  <c r="N311" i="1"/>
  <c r="K613" i="3"/>
  <c r="K626" i="6"/>
  <c r="K625" i="6"/>
  <c r="P33" i="9"/>
  <c r="M13" i="9"/>
  <c r="P13" i="9" s="1"/>
  <c r="P122" i="10"/>
  <c r="M120" i="10"/>
  <c r="P120" i="10" s="1"/>
  <c r="J175" i="1"/>
  <c r="J326" i="1"/>
  <c r="J339" i="1"/>
  <c r="J375" i="1"/>
  <c r="J380" i="1"/>
  <c r="N383" i="1"/>
  <c r="I450" i="1"/>
  <c r="J467" i="1"/>
  <c r="J471" i="1"/>
  <c r="J503" i="1"/>
  <c r="K547" i="2"/>
  <c r="O597" i="2"/>
  <c r="K620" i="2"/>
  <c r="K138" i="3"/>
  <c r="K235" i="3"/>
  <c r="K417" i="3"/>
  <c r="K616" i="3"/>
  <c r="L19" i="4"/>
  <c r="O19" i="4" s="1"/>
  <c r="L98" i="4"/>
  <c r="O98" i="4" s="1"/>
  <c r="K112" i="4"/>
  <c r="N142" i="4"/>
  <c r="N140" i="4" s="1"/>
  <c r="K158" i="4"/>
  <c r="K499" i="4"/>
  <c r="M49" i="7"/>
  <c r="M26" i="7" s="1"/>
  <c r="M16" i="7" s="1"/>
  <c r="O49" i="7"/>
  <c r="P45" i="2"/>
  <c r="J109" i="1"/>
  <c r="J113" i="1"/>
  <c r="K133" i="2"/>
  <c r="K186" i="2"/>
  <c r="K235" i="2"/>
  <c r="K285" i="2"/>
  <c r="P333" i="2"/>
  <c r="I343" i="1"/>
  <c r="J362" i="1"/>
  <c r="K368" i="2"/>
  <c r="K372" i="2"/>
  <c r="O380" i="2"/>
  <c r="N401" i="1"/>
  <c r="N405" i="1"/>
  <c r="K430" i="2"/>
  <c r="J450" i="1"/>
  <c r="J493" i="1"/>
  <c r="O555" i="2"/>
  <c r="K65" i="3"/>
  <c r="K185" i="3"/>
  <c r="K380" i="3"/>
  <c r="K397" i="3"/>
  <c r="O401" i="3"/>
  <c r="K611" i="3"/>
  <c r="K665" i="3"/>
  <c r="K133" i="4"/>
  <c r="K149" i="4"/>
  <c r="N222" i="4"/>
  <c r="N220" i="4" s="1"/>
  <c r="M252" i="4"/>
  <c r="K265" i="4"/>
  <c r="O383" i="4"/>
  <c r="K417" i="4"/>
  <c r="K425" i="4"/>
  <c r="K474" i="4"/>
  <c r="K481" i="4"/>
  <c r="P45" i="5"/>
  <c r="L144" i="5"/>
  <c r="O144" i="5" s="1"/>
  <c r="K173" i="5"/>
  <c r="K204" i="5"/>
  <c r="M273" i="5"/>
  <c r="M271" i="5" s="1"/>
  <c r="J651" i="4"/>
  <c r="K651" i="4" s="1"/>
  <c r="M13" i="5"/>
  <c r="P13" i="5" s="1"/>
  <c r="K270" i="5"/>
  <c r="N252" i="6"/>
  <c r="P34" i="8"/>
  <c r="M14" i="8"/>
  <c r="P14" i="8" s="1"/>
  <c r="P70" i="8"/>
  <c r="M68" i="8"/>
  <c r="M66" i="8" s="1"/>
  <c r="M94" i="8"/>
  <c r="P94" i="8" s="1"/>
  <c r="P96" i="8"/>
  <c r="K309" i="5"/>
  <c r="O352" i="5"/>
  <c r="K402" i="5"/>
  <c r="K422" i="5"/>
  <c r="K429" i="5"/>
  <c r="O437" i="5"/>
  <c r="O457" i="5"/>
  <c r="K630" i="5"/>
  <c r="L144" i="6"/>
  <c r="L142" i="6" s="1"/>
  <c r="L140" i="6" s="1"/>
  <c r="K173" i="6"/>
  <c r="M220" i="6"/>
  <c r="K368" i="6"/>
  <c r="K375" i="6"/>
  <c r="K380" i="6"/>
  <c r="K417" i="6"/>
  <c r="K481" i="6"/>
  <c r="K533" i="6"/>
  <c r="K564" i="6"/>
  <c r="L19" i="7"/>
  <c r="O19" i="7" s="1"/>
  <c r="K186" i="7"/>
  <c r="K417" i="7"/>
  <c r="O535" i="7"/>
  <c r="K630" i="7"/>
  <c r="J651" i="7"/>
  <c r="N19" i="8"/>
  <c r="M43" i="8"/>
  <c r="M41" i="8" s="1"/>
  <c r="K213" i="8"/>
  <c r="O354" i="8"/>
  <c r="K372" i="8"/>
  <c r="O380" i="8"/>
  <c r="K418" i="8"/>
  <c r="O437" i="8"/>
  <c r="K450" i="8"/>
  <c r="K533" i="8"/>
  <c r="O599" i="8"/>
  <c r="K634" i="8"/>
  <c r="N644" i="8"/>
  <c r="N640" i="8" s="1"/>
  <c r="N638" i="8" s="1"/>
  <c r="N636" i="8" s="1"/>
  <c r="O665" i="8"/>
  <c r="M30" i="9"/>
  <c r="P30" i="9" s="1"/>
  <c r="M142" i="9"/>
  <c r="M252" i="9"/>
  <c r="P252" i="9" s="1"/>
  <c r="N312" i="9"/>
  <c r="K422" i="9"/>
  <c r="K426" i="9"/>
  <c r="K547" i="9"/>
  <c r="K611" i="9"/>
  <c r="K618" i="9"/>
  <c r="M29" i="10"/>
  <c r="N120" i="10"/>
  <c r="N118" i="10" s="1"/>
  <c r="K138" i="10"/>
  <c r="K219" i="10"/>
  <c r="M14" i="11"/>
  <c r="P14" i="11" s="1"/>
  <c r="P24" i="11"/>
  <c r="P67" i="12"/>
  <c r="L15" i="14"/>
  <c r="O15" i="14" s="1"/>
  <c r="O25" i="14"/>
  <c r="K622" i="5"/>
  <c r="K84" i="6"/>
  <c r="L122" i="6"/>
  <c r="O122" i="6" s="1"/>
  <c r="K350" i="6"/>
  <c r="K425" i="6"/>
  <c r="K429" i="6"/>
  <c r="O649" i="6"/>
  <c r="J671" i="6"/>
  <c r="K671" i="6" s="1"/>
  <c r="M19" i="7"/>
  <c r="P19" i="7" s="1"/>
  <c r="L224" i="7"/>
  <c r="O224" i="7" s="1"/>
  <c r="K328" i="7"/>
  <c r="L333" i="7"/>
  <c r="L331" i="7" s="1"/>
  <c r="K345" i="7"/>
  <c r="K380" i="7"/>
  <c r="O401" i="7"/>
  <c r="K418" i="7"/>
  <c r="L70" i="8"/>
  <c r="O70" i="8" s="1"/>
  <c r="K204" i="8"/>
  <c r="M252" i="8"/>
  <c r="P252" i="8" s="1"/>
  <c r="P275" i="8"/>
  <c r="O347" i="8"/>
  <c r="K426" i="8"/>
  <c r="K427" i="9"/>
  <c r="N33" i="9"/>
  <c r="N13" i="9" s="1"/>
  <c r="O535" i="9"/>
  <c r="O566" i="9"/>
  <c r="L122" i="10"/>
  <c r="L120" i="10" s="1"/>
  <c r="L118" i="10" s="1"/>
  <c r="O118" i="10" s="1"/>
  <c r="K199" i="10"/>
  <c r="K204" i="10"/>
  <c r="K350" i="10"/>
  <c r="K324" i="5"/>
  <c r="O349" i="5"/>
  <c r="K423" i="5"/>
  <c r="K435" i="5"/>
  <c r="K626" i="5"/>
  <c r="M66" i="6"/>
  <c r="K376" i="6"/>
  <c r="K397" i="6"/>
  <c r="K422" i="6"/>
  <c r="O437" i="6"/>
  <c r="O457" i="6"/>
  <c r="K474" i="6"/>
  <c r="K482" i="6"/>
  <c r="K499" i="6"/>
  <c r="O537" i="6"/>
  <c r="K630" i="6"/>
  <c r="O665" i="6"/>
  <c r="N31" i="8"/>
  <c r="N29" i="8" s="1"/>
  <c r="K626" i="8"/>
  <c r="M13" i="6"/>
  <c r="P13" i="6" s="1"/>
  <c r="N43" i="6"/>
  <c r="N41" i="6" s="1"/>
  <c r="P254" i="6"/>
  <c r="O347" i="6"/>
  <c r="K450" i="6"/>
  <c r="N41" i="7"/>
  <c r="O380" i="7"/>
  <c r="K398" i="7"/>
  <c r="O564" i="7"/>
  <c r="P31" i="8"/>
  <c r="L98" i="8"/>
  <c r="O98" i="8" s="1"/>
  <c r="L144" i="8"/>
  <c r="L142" i="8" s="1"/>
  <c r="K200" i="8"/>
  <c r="L275" i="8"/>
  <c r="L273" i="8" s="1"/>
  <c r="L271" i="8" s="1"/>
  <c r="N312" i="8"/>
  <c r="N310" i="8" s="1"/>
  <c r="P333" i="8"/>
  <c r="K423" i="8"/>
  <c r="K451" i="8"/>
  <c r="O537" i="8"/>
  <c r="K597" i="8"/>
  <c r="O650" i="8"/>
  <c r="L98" i="9"/>
  <c r="O98" i="9" s="1"/>
  <c r="L224" i="9"/>
  <c r="O224" i="9" s="1"/>
  <c r="N252" i="9"/>
  <c r="N250" i="9" s="1"/>
  <c r="K424" i="9"/>
  <c r="K432" i="9"/>
  <c r="O599" i="9"/>
  <c r="K612" i="9"/>
  <c r="K619" i="9"/>
  <c r="L144" i="10"/>
  <c r="L142" i="10" s="1"/>
  <c r="L140" i="10" s="1"/>
  <c r="K189" i="10"/>
  <c r="M252" i="10"/>
  <c r="P252" i="10" s="1"/>
  <c r="L294" i="10"/>
  <c r="O294" i="10" s="1"/>
  <c r="N31" i="12"/>
  <c r="N29" i="12" s="1"/>
  <c r="P144" i="15"/>
  <c r="M142" i="15"/>
  <c r="O354" i="5"/>
  <c r="K368" i="5"/>
  <c r="K396" i="5"/>
  <c r="O439" i="5"/>
  <c r="P224" i="6"/>
  <c r="K381" i="6"/>
  <c r="O406" i="6"/>
  <c r="K419" i="6"/>
  <c r="K547" i="6"/>
  <c r="N26" i="7"/>
  <c r="N16" i="7" s="1"/>
  <c r="K498" i="7"/>
  <c r="O533" i="7"/>
  <c r="J671" i="7"/>
  <c r="P57" i="8"/>
  <c r="N271" i="8"/>
  <c r="O435" i="8"/>
  <c r="K620" i="8"/>
  <c r="J651" i="8"/>
  <c r="K651" i="8" s="1"/>
  <c r="J671" i="9"/>
  <c r="P224" i="10"/>
  <c r="M331" i="12"/>
  <c r="P333" i="12"/>
  <c r="K423" i="13"/>
  <c r="P31" i="6"/>
  <c r="K328" i="6"/>
  <c r="O650" i="6"/>
  <c r="L24" i="7"/>
  <c r="O24" i="7" s="1"/>
  <c r="N96" i="7"/>
  <c r="N94" i="7" s="1"/>
  <c r="L144" i="7"/>
  <c r="O144" i="7" s="1"/>
  <c r="K343" i="7"/>
  <c r="K416" i="7"/>
  <c r="K420" i="7"/>
  <c r="N55" i="8"/>
  <c r="N53" i="8" s="1"/>
  <c r="M142" i="8"/>
  <c r="K158" i="8"/>
  <c r="K396" i="8"/>
  <c r="K629" i="8"/>
  <c r="K649" i="8"/>
  <c r="K668" i="8"/>
  <c r="L57" i="9"/>
  <c r="L55" i="9" s="1"/>
  <c r="L144" i="9"/>
  <c r="L142" i="9" s="1"/>
  <c r="K235" i="9"/>
  <c r="P333" i="9"/>
  <c r="O347" i="9"/>
  <c r="K421" i="9"/>
  <c r="O568" i="9"/>
  <c r="K663" i="9"/>
  <c r="K668" i="9"/>
  <c r="L45" i="10"/>
  <c r="L43" i="10" s="1"/>
  <c r="N55" i="10"/>
  <c r="N53" i="10" s="1"/>
  <c r="N68" i="10"/>
  <c r="N66" i="10" s="1"/>
  <c r="N96" i="10"/>
  <c r="N94" i="10" s="1"/>
  <c r="K285" i="10"/>
  <c r="M29" i="12"/>
  <c r="M28" i="12" s="1"/>
  <c r="P28" i="12" s="1"/>
  <c r="P31" i="12"/>
  <c r="M292" i="13"/>
  <c r="P292" i="13" s="1"/>
  <c r="P294" i="13"/>
  <c r="O383" i="5"/>
  <c r="K428" i="5"/>
  <c r="K432" i="5"/>
  <c r="K564" i="5"/>
  <c r="L57" i="6"/>
  <c r="O57" i="6" s="1"/>
  <c r="K149" i="6"/>
  <c r="P275" i="6"/>
  <c r="N312" i="6"/>
  <c r="N310" i="6" s="1"/>
  <c r="K341" i="6"/>
  <c r="K345" i="6"/>
  <c r="K416" i="6"/>
  <c r="O459" i="6"/>
  <c r="K465" i="6"/>
  <c r="O535" i="6"/>
  <c r="K615" i="6"/>
  <c r="N120" i="7"/>
  <c r="N118" i="7" s="1"/>
  <c r="K164" i="7"/>
  <c r="K229" i="7"/>
  <c r="K428" i="7"/>
  <c r="K432" i="7"/>
  <c r="O457" i="7"/>
  <c r="O599" i="7"/>
  <c r="K629" i="7"/>
  <c r="K149" i="8"/>
  <c r="L254" i="8"/>
  <c r="L252" i="8" s="1"/>
  <c r="K432" i="8"/>
  <c r="K665" i="8"/>
  <c r="O668" i="8"/>
  <c r="K200" i="9"/>
  <c r="N222" i="9"/>
  <c r="N220" i="9" s="1"/>
  <c r="O401" i="9"/>
  <c r="O597" i="9"/>
  <c r="K630" i="9"/>
  <c r="M11" i="10"/>
  <c r="P21" i="10"/>
  <c r="L57" i="10"/>
  <c r="O57" i="10" s="1"/>
  <c r="L98" i="10"/>
  <c r="O98" i="10" s="1"/>
  <c r="N32" i="10"/>
  <c r="N30" i="10" s="1"/>
  <c r="L254" i="15"/>
  <c r="N644" i="10"/>
  <c r="N640" i="10" s="1"/>
  <c r="N638" i="10" s="1"/>
  <c r="N636" i="10" s="1"/>
  <c r="K435" i="11"/>
  <c r="K481" i="11"/>
  <c r="K533" i="11"/>
  <c r="K631" i="11"/>
  <c r="L70" i="12"/>
  <c r="O70" i="12" s="1"/>
  <c r="M292" i="12"/>
  <c r="P292" i="12" s="1"/>
  <c r="L314" i="12"/>
  <c r="O314" i="12" s="1"/>
  <c r="K633" i="12"/>
  <c r="P57" i="13"/>
  <c r="K219" i="13"/>
  <c r="N292" i="13"/>
  <c r="N290" i="13" s="1"/>
  <c r="M292" i="14"/>
  <c r="P292" i="14" s="1"/>
  <c r="K380" i="14"/>
  <c r="K401" i="14"/>
  <c r="O404" i="14"/>
  <c r="K417" i="14"/>
  <c r="K429" i="14"/>
  <c r="K450" i="14"/>
  <c r="K464" i="14"/>
  <c r="K635" i="14"/>
  <c r="K199" i="15"/>
  <c r="K249" i="15"/>
  <c r="K372" i="10"/>
  <c r="K376" i="10"/>
  <c r="O380" i="10"/>
  <c r="L19" i="11"/>
  <c r="P31" i="11"/>
  <c r="N55" i="11"/>
  <c r="P55" i="11" s="1"/>
  <c r="N96" i="11"/>
  <c r="N94" i="11" s="1"/>
  <c r="K149" i="11"/>
  <c r="P314" i="11"/>
  <c r="L333" i="11"/>
  <c r="O333" i="11" s="1"/>
  <c r="K341" i="11"/>
  <c r="O385" i="11"/>
  <c r="O406" i="11"/>
  <c r="K474" i="11"/>
  <c r="K482" i="11"/>
  <c r="O533" i="11"/>
  <c r="O537" i="11"/>
  <c r="O564" i="11"/>
  <c r="K173" i="12"/>
  <c r="K375" i="12"/>
  <c r="K423" i="12"/>
  <c r="K427" i="12"/>
  <c r="L19" i="13"/>
  <c r="O19" i="13" s="1"/>
  <c r="O401" i="13"/>
  <c r="K465" i="13"/>
  <c r="K481" i="13"/>
  <c r="O537" i="13"/>
  <c r="K573" i="13"/>
  <c r="K617" i="13"/>
  <c r="O661" i="13"/>
  <c r="L57" i="14"/>
  <c r="L55" i="14" s="1"/>
  <c r="L53" i="14" s="1"/>
  <c r="P144" i="14"/>
  <c r="K229" i="14"/>
  <c r="K345" i="14"/>
  <c r="O401" i="14"/>
  <c r="K482" i="14"/>
  <c r="K497" i="14"/>
  <c r="K628" i="14"/>
  <c r="K370" i="15"/>
  <c r="K381" i="15"/>
  <c r="K547" i="10"/>
  <c r="K630" i="12"/>
  <c r="P31" i="13"/>
  <c r="L275" i="13"/>
  <c r="O275" i="13" s="1"/>
  <c r="L294" i="13"/>
  <c r="L292" i="13" s="1"/>
  <c r="K204" i="15"/>
  <c r="N292" i="15"/>
  <c r="N290" i="15" s="1"/>
  <c r="O314" i="16"/>
  <c r="L312" i="16"/>
  <c r="O312" i="16" s="1"/>
  <c r="K419" i="10"/>
  <c r="K622" i="10"/>
  <c r="P32" i="11"/>
  <c r="K396" i="11"/>
  <c r="K547" i="11"/>
  <c r="K611" i="11"/>
  <c r="J671" i="11"/>
  <c r="K216" i="12"/>
  <c r="L224" i="12"/>
  <c r="O224" i="12" s="1"/>
  <c r="K264" i="12"/>
  <c r="K372" i="12"/>
  <c r="K401" i="12"/>
  <c r="K420" i="12"/>
  <c r="K428" i="12"/>
  <c r="M252" i="13"/>
  <c r="P252" i="13" s="1"/>
  <c r="K474" i="13"/>
  <c r="K498" i="13"/>
  <c r="O564" i="13"/>
  <c r="K628" i="13"/>
  <c r="L640" i="13"/>
  <c r="L638" i="13" s="1"/>
  <c r="M30" i="14"/>
  <c r="P30" i="14" s="1"/>
  <c r="O49" i="14"/>
  <c r="M96" i="14"/>
  <c r="P96" i="14" s="1"/>
  <c r="M252" i="14"/>
  <c r="P252" i="14" s="1"/>
  <c r="K498" i="14"/>
  <c r="K547" i="14"/>
  <c r="P32" i="15"/>
  <c r="N55" i="15"/>
  <c r="N53" i="15" s="1"/>
  <c r="O349" i="15"/>
  <c r="M290" i="17"/>
  <c r="P290" i="17" s="1"/>
  <c r="P292" i="17"/>
  <c r="K423" i="10"/>
  <c r="K427" i="10"/>
  <c r="K431" i="10"/>
  <c r="O535" i="10"/>
  <c r="K626" i="10"/>
  <c r="N252" i="11"/>
  <c r="N250" i="11" s="1"/>
  <c r="K432" i="11"/>
  <c r="O439" i="11"/>
  <c r="O455" i="11"/>
  <c r="O648" i="12"/>
  <c r="O671" i="12"/>
  <c r="K87" i="13"/>
  <c r="L144" i="13"/>
  <c r="L142" i="13" s="1"/>
  <c r="K173" i="13"/>
  <c r="N644" i="13"/>
  <c r="N640" i="13" s="1"/>
  <c r="N638" i="13" s="1"/>
  <c r="N636" i="13" s="1"/>
  <c r="J651" i="13"/>
  <c r="O141" i="14"/>
  <c r="M220" i="14"/>
  <c r="M220" i="15"/>
  <c r="K343" i="11"/>
  <c r="O535" i="11"/>
  <c r="K113" i="12"/>
  <c r="P122" i="12"/>
  <c r="K397" i="12"/>
  <c r="O457" i="12"/>
  <c r="K499" i="13"/>
  <c r="K533" i="13"/>
  <c r="K633" i="13"/>
  <c r="N43" i="14"/>
  <c r="N41" i="14" s="1"/>
  <c r="K164" i="14"/>
  <c r="L224" i="14"/>
  <c r="L222" i="14" s="1"/>
  <c r="O435" i="14"/>
  <c r="O439" i="14"/>
  <c r="K473" i="14"/>
  <c r="O535" i="14"/>
  <c r="K573" i="14"/>
  <c r="K634" i="14"/>
  <c r="J651" i="14"/>
  <c r="K651" i="14" s="1"/>
  <c r="K665" i="14"/>
  <c r="N96" i="15"/>
  <c r="N94" i="15" s="1"/>
  <c r="K158" i="15"/>
  <c r="P254" i="15"/>
  <c r="L275" i="15"/>
  <c r="O275" i="15" s="1"/>
  <c r="K285" i="15"/>
  <c r="L314" i="15"/>
  <c r="L312" i="15" s="1"/>
  <c r="L333" i="15"/>
  <c r="L331" i="15" s="1"/>
  <c r="K368" i="15"/>
  <c r="K372" i="15"/>
  <c r="K380" i="15"/>
  <c r="K396" i="15"/>
  <c r="K401" i="15"/>
  <c r="K349" i="10"/>
  <c r="O352" i="10"/>
  <c r="K370" i="10"/>
  <c r="O404" i="10"/>
  <c r="K424" i="10"/>
  <c r="K428" i="10"/>
  <c r="K449" i="10"/>
  <c r="K564" i="10"/>
  <c r="K597" i="10"/>
  <c r="K632" i="10"/>
  <c r="O671" i="10"/>
  <c r="K164" i="11"/>
  <c r="O380" i="11"/>
  <c r="K425" i="11"/>
  <c r="K429" i="11"/>
  <c r="N34" i="11"/>
  <c r="N14" i="11" s="1"/>
  <c r="K630" i="11"/>
  <c r="M22" i="12"/>
  <c r="M12" i="12" s="1"/>
  <c r="K92" i="12"/>
  <c r="L122" i="12"/>
  <c r="K138" i="12"/>
  <c r="P144" i="12"/>
  <c r="N312" i="12"/>
  <c r="N310" i="12" s="1"/>
  <c r="K343" i="12"/>
  <c r="K422" i="12"/>
  <c r="K426" i="12"/>
  <c r="K499" i="12"/>
  <c r="O537" i="12"/>
  <c r="O582" i="12"/>
  <c r="M41" i="13"/>
  <c r="K81" i="13"/>
  <c r="K88" i="13"/>
  <c r="K164" i="13"/>
  <c r="N252" i="13"/>
  <c r="N250" i="13" s="1"/>
  <c r="K426" i="13"/>
  <c r="K430" i="13"/>
  <c r="K435" i="13"/>
  <c r="K450" i="13"/>
  <c r="O457" i="13"/>
  <c r="O668" i="13"/>
  <c r="N68" i="14"/>
  <c r="N66" i="14" s="1"/>
  <c r="M142" i="14"/>
  <c r="M140" i="14" s="1"/>
  <c r="K340" i="14"/>
  <c r="I367" i="14"/>
  <c r="K367" i="14" s="1"/>
  <c r="K420" i="14"/>
  <c r="K449" i="14"/>
  <c r="O564" i="14"/>
  <c r="O597" i="14"/>
  <c r="O601" i="14"/>
  <c r="K621" i="14"/>
  <c r="K267" i="15"/>
  <c r="O354" i="15"/>
  <c r="O404" i="15"/>
  <c r="K417" i="15"/>
  <c r="K428" i="15"/>
  <c r="K432" i="15"/>
  <c r="K449" i="15"/>
  <c r="K465" i="15"/>
  <c r="K497" i="15"/>
  <c r="K629" i="15"/>
  <c r="N43" i="16"/>
  <c r="N41" i="16" s="1"/>
  <c r="K111" i="16"/>
  <c r="N120" i="16"/>
  <c r="N118" i="16" s="1"/>
  <c r="K173" i="16"/>
  <c r="M252" i="16"/>
  <c r="M250" i="16" s="1"/>
  <c r="P250" i="16" s="1"/>
  <c r="K431" i="16"/>
  <c r="N43" i="17"/>
  <c r="N41" i="17" s="1"/>
  <c r="N68" i="17"/>
  <c r="N66" i="17" s="1"/>
  <c r="K83" i="17"/>
  <c r="N96" i="17"/>
  <c r="N94" i="17" s="1"/>
  <c r="L144" i="17"/>
  <c r="L142" i="17" s="1"/>
  <c r="K189" i="17"/>
  <c r="K200" i="17"/>
  <c r="K235" i="17"/>
  <c r="L254" i="17"/>
  <c r="O254" i="17" s="1"/>
  <c r="L275" i="17"/>
  <c r="O275" i="17" s="1"/>
  <c r="K285" i="17"/>
  <c r="K377" i="17"/>
  <c r="K416" i="17"/>
  <c r="K424" i="17"/>
  <c r="O455" i="17"/>
  <c r="K465" i="17"/>
  <c r="K473" i="17"/>
  <c r="K619" i="17"/>
  <c r="K632" i="17"/>
  <c r="K663" i="17"/>
  <c r="P31" i="18"/>
  <c r="M120" i="18"/>
  <c r="M118" i="18" s="1"/>
  <c r="P118" i="18" s="1"/>
  <c r="K186" i="18"/>
  <c r="K213" i="18"/>
  <c r="K401" i="18"/>
  <c r="K416" i="18"/>
  <c r="K424" i="18"/>
  <c r="K428" i="18"/>
  <c r="K466" i="18"/>
  <c r="N273" i="16"/>
  <c r="N271" i="16" s="1"/>
  <c r="M312" i="16"/>
  <c r="M310" i="16" s="1"/>
  <c r="P310" i="16" s="1"/>
  <c r="M312" i="17"/>
  <c r="P29" i="19"/>
  <c r="K429" i="15"/>
  <c r="O437" i="15"/>
  <c r="O597" i="15"/>
  <c r="K630" i="15"/>
  <c r="K634" i="15"/>
  <c r="M13" i="16"/>
  <c r="P13" i="16" s="1"/>
  <c r="L24" i="16"/>
  <c r="O24" i="16" s="1"/>
  <c r="P57" i="16"/>
  <c r="K108" i="16"/>
  <c r="K112" i="16"/>
  <c r="K164" i="16"/>
  <c r="K235" i="16"/>
  <c r="K380" i="16"/>
  <c r="K401" i="16"/>
  <c r="K417" i="16"/>
  <c r="M14" i="17"/>
  <c r="P14" i="17" s="1"/>
  <c r="N55" i="17"/>
  <c r="P55" i="17" s="1"/>
  <c r="K84" i="17"/>
  <c r="K88" i="17"/>
  <c r="P294" i="17"/>
  <c r="K396" i="17"/>
  <c r="K466" i="17"/>
  <c r="K474" i="17"/>
  <c r="O535" i="17"/>
  <c r="O599" i="17"/>
  <c r="K629" i="17"/>
  <c r="O651" i="17"/>
  <c r="K665" i="17"/>
  <c r="M13" i="18"/>
  <c r="P13" i="18" s="1"/>
  <c r="P32" i="18"/>
  <c r="M96" i="18"/>
  <c r="K215" i="18"/>
  <c r="K289" i="18"/>
  <c r="L333" i="18"/>
  <c r="O333" i="18" s="1"/>
  <c r="K421" i="18"/>
  <c r="K482" i="18"/>
  <c r="O580" i="18"/>
  <c r="J671" i="18"/>
  <c r="N142" i="19"/>
  <c r="N140" i="19" s="1"/>
  <c r="K158" i="16"/>
  <c r="K632" i="16"/>
  <c r="L57" i="17"/>
  <c r="L55" i="17" s="1"/>
  <c r="L53" i="17" s="1"/>
  <c r="L294" i="17"/>
  <c r="K328" i="17"/>
  <c r="N331" i="17"/>
  <c r="N329" i="17" s="1"/>
  <c r="K597" i="17"/>
  <c r="K173" i="18"/>
  <c r="K455" i="18"/>
  <c r="M96" i="19"/>
  <c r="P102" i="19"/>
  <c r="O406" i="15"/>
  <c r="K419" i="15"/>
  <c r="O535" i="15"/>
  <c r="K92" i="16"/>
  <c r="K149" i="16"/>
  <c r="L254" i="16"/>
  <c r="L252" i="16" s="1"/>
  <c r="O252" i="16" s="1"/>
  <c r="M337" i="16"/>
  <c r="P337" i="16" s="1"/>
  <c r="K341" i="16"/>
  <c r="K426" i="16"/>
  <c r="O457" i="16"/>
  <c r="O533" i="16"/>
  <c r="O537" i="16"/>
  <c r="K629" i="16"/>
  <c r="K219" i="17"/>
  <c r="L224" i="17"/>
  <c r="L222" i="17" s="1"/>
  <c r="L220" i="17" s="1"/>
  <c r="K372" i="17"/>
  <c r="K380" i="17"/>
  <c r="O383" i="17"/>
  <c r="K422" i="17"/>
  <c r="K430" i="17"/>
  <c r="K435" i="17"/>
  <c r="O566" i="17"/>
  <c r="O597" i="17"/>
  <c r="O661" i="17"/>
  <c r="P25" i="18"/>
  <c r="K64" i="18"/>
  <c r="O74" i="18"/>
  <c r="K81" i="18"/>
  <c r="K158" i="18"/>
  <c r="L254" i="18"/>
  <c r="O254" i="18" s="1"/>
  <c r="L275" i="18"/>
  <c r="O275" i="18" s="1"/>
  <c r="O337" i="18"/>
  <c r="O455" i="18"/>
  <c r="K629" i="18"/>
  <c r="M30" i="19"/>
  <c r="P30" i="19" s="1"/>
  <c r="P32" i="19"/>
  <c r="N331" i="19"/>
  <c r="N329" i="19" s="1"/>
  <c r="N34" i="19"/>
  <c r="N14" i="19" s="1"/>
  <c r="O406" i="20"/>
  <c r="L34" i="20"/>
  <c r="K416" i="15"/>
  <c r="K420" i="15"/>
  <c r="K427" i="15"/>
  <c r="O435" i="15"/>
  <c r="O439" i="15"/>
  <c r="K628" i="15"/>
  <c r="K110" i="16"/>
  <c r="K381" i="16"/>
  <c r="K419" i="16"/>
  <c r="K430" i="16"/>
  <c r="K82" i="17"/>
  <c r="K199" i="17"/>
  <c r="P254" i="17"/>
  <c r="L314" i="17"/>
  <c r="O314" i="17" s="1"/>
  <c r="O380" i="17"/>
  <c r="K573" i="17"/>
  <c r="K635" i="17"/>
  <c r="L45" i="18"/>
  <c r="L43" i="18" s="1"/>
  <c r="L41" i="18" s="1"/>
  <c r="K65" i="18"/>
  <c r="I367" i="18"/>
  <c r="K367" i="18" s="1"/>
  <c r="K427" i="18"/>
  <c r="K473" i="18"/>
  <c r="O582" i="18"/>
  <c r="M15" i="19"/>
  <c r="P15" i="19" s="1"/>
  <c r="O25" i="20"/>
  <c r="L15" i="20"/>
  <c r="O15" i="20" s="1"/>
  <c r="M96" i="16"/>
  <c r="M94" i="16" s="1"/>
  <c r="N68" i="18"/>
  <c r="N66" i="18" s="1"/>
  <c r="N252" i="20"/>
  <c r="N250" i="20" s="1"/>
  <c r="P24" i="21"/>
  <c r="M14" i="21"/>
  <c r="P14" i="21" s="1"/>
  <c r="K429" i="22"/>
  <c r="K108" i="19"/>
  <c r="K112" i="19"/>
  <c r="O597" i="19"/>
  <c r="M14" i="20"/>
  <c r="P14" i="20" s="1"/>
  <c r="P32" i="21"/>
  <c r="K65" i="21"/>
  <c r="O406" i="21"/>
  <c r="L19" i="22"/>
  <c r="P32" i="22"/>
  <c r="M68" i="22"/>
  <c r="K465" i="18"/>
  <c r="K109" i="19"/>
  <c r="K138" i="19"/>
  <c r="K149" i="19"/>
  <c r="K219" i="19"/>
  <c r="K377" i="19"/>
  <c r="O437" i="19"/>
  <c r="O457" i="19"/>
  <c r="K499" i="19"/>
  <c r="K591" i="19"/>
  <c r="K614" i="19"/>
  <c r="K630" i="19"/>
  <c r="L19" i="20"/>
  <c r="O19" i="20" s="1"/>
  <c r="K401" i="20"/>
  <c r="K416" i="20"/>
  <c r="K424" i="20"/>
  <c r="K428" i="20"/>
  <c r="O439" i="20"/>
  <c r="K624" i="20"/>
  <c r="K633" i="20"/>
  <c r="P25" i="21"/>
  <c r="L70" i="21"/>
  <c r="O70" i="21" s="1"/>
  <c r="K80" i="21"/>
  <c r="N120" i="21"/>
  <c r="N118" i="21" s="1"/>
  <c r="K401" i="21"/>
  <c r="K416" i="21"/>
  <c r="O439" i="21"/>
  <c r="K465" i="21"/>
  <c r="K481" i="21"/>
  <c r="K497" i="21"/>
  <c r="K564" i="21"/>
  <c r="O566" i="21"/>
  <c r="O580" i="21"/>
  <c r="O597" i="21"/>
  <c r="O601" i="21"/>
  <c r="K631" i="21"/>
  <c r="M252" i="22"/>
  <c r="P252" i="22" s="1"/>
  <c r="K597" i="22"/>
  <c r="O599" i="22"/>
  <c r="L57" i="19"/>
  <c r="O57" i="19" s="1"/>
  <c r="K92" i="19"/>
  <c r="P122" i="19"/>
  <c r="P144" i="19"/>
  <c r="P333" i="19"/>
  <c r="K349" i="19"/>
  <c r="O406" i="19"/>
  <c r="N644" i="19"/>
  <c r="N640" i="19" s="1"/>
  <c r="N638" i="19" s="1"/>
  <c r="N636" i="19" s="1"/>
  <c r="P24" i="20"/>
  <c r="L144" i="20"/>
  <c r="O144" i="20" s="1"/>
  <c r="K173" i="20"/>
  <c r="P275" i="20"/>
  <c r="O404" i="20"/>
  <c r="K432" i="20"/>
  <c r="K449" i="20"/>
  <c r="O568" i="20"/>
  <c r="O597" i="20"/>
  <c r="M28" i="21"/>
  <c r="P28" i="21" s="1"/>
  <c r="P45" i="21"/>
  <c r="K88" i="21"/>
  <c r="P122" i="21"/>
  <c r="K350" i="21"/>
  <c r="K380" i="21"/>
  <c r="K424" i="21"/>
  <c r="L24" i="22"/>
  <c r="O24" i="22" s="1"/>
  <c r="L224" i="22"/>
  <c r="O224" i="22" s="1"/>
  <c r="P275" i="22"/>
  <c r="O533" i="22"/>
  <c r="K624" i="22"/>
  <c r="K132" i="19"/>
  <c r="K235" i="19"/>
  <c r="K249" i="19"/>
  <c r="K328" i="19"/>
  <c r="K345" i="19"/>
  <c r="K628" i="19"/>
  <c r="O21" i="20"/>
  <c r="K189" i="20"/>
  <c r="O401" i="20"/>
  <c r="K425" i="20"/>
  <c r="J671" i="20"/>
  <c r="M19" i="21"/>
  <c r="P19" i="21" s="1"/>
  <c r="L122" i="21"/>
  <c r="L120" i="21" s="1"/>
  <c r="K132" i="21"/>
  <c r="N252" i="21"/>
  <c r="N250" i="21" s="1"/>
  <c r="K376" i="21"/>
  <c r="K421" i="21"/>
  <c r="O537" i="21"/>
  <c r="N120" i="22"/>
  <c r="N118" i="22" s="1"/>
  <c r="N252" i="22"/>
  <c r="N250" i="22" s="1"/>
  <c r="K372" i="22"/>
  <c r="O439" i="22"/>
  <c r="L34" i="22"/>
  <c r="K621" i="22"/>
  <c r="K573" i="18"/>
  <c r="L98" i="19"/>
  <c r="O98" i="19" s="1"/>
  <c r="K111" i="19"/>
  <c r="K189" i="19"/>
  <c r="K265" i="19"/>
  <c r="P275" i="19"/>
  <c r="O435" i="19"/>
  <c r="K473" i="19"/>
  <c r="K481" i="19"/>
  <c r="K497" i="19"/>
  <c r="K533" i="19"/>
  <c r="K597" i="19"/>
  <c r="K612" i="19"/>
  <c r="P21" i="20"/>
  <c r="N96" i="20"/>
  <c r="N94" i="20" s="1"/>
  <c r="N34" i="20"/>
  <c r="N14" i="20" s="1"/>
  <c r="K402" i="20"/>
  <c r="K426" i="20"/>
  <c r="K430" i="20"/>
  <c r="O566" i="20"/>
  <c r="N644" i="20"/>
  <c r="N640" i="20" s="1"/>
  <c r="N638" i="20" s="1"/>
  <c r="N636" i="20" s="1"/>
  <c r="K264" i="21"/>
  <c r="N292" i="21"/>
  <c r="N290" i="21" s="1"/>
  <c r="N312" i="21"/>
  <c r="N310" i="21" s="1"/>
  <c r="L333" i="21"/>
  <c r="L331" i="21" s="1"/>
  <c r="K429" i="21"/>
  <c r="K473" i="21"/>
  <c r="O582" i="21"/>
  <c r="K668" i="21"/>
  <c r="M96" i="22"/>
  <c r="P96" i="22" s="1"/>
  <c r="N222" i="22"/>
  <c r="N220" i="22" s="1"/>
  <c r="N331" i="22"/>
  <c r="N329" i="22" s="1"/>
  <c r="K416" i="22"/>
  <c r="K449" i="22"/>
  <c r="N68" i="19"/>
  <c r="N66" i="19" s="1"/>
  <c r="K117" i="19"/>
  <c r="N118" i="19"/>
  <c r="K201" i="19"/>
  <c r="K401" i="19"/>
  <c r="K573" i="19"/>
  <c r="O661" i="19"/>
  <c r="O337" i="20"/>
  <c r="K499" i="21"/>
  <c r="O404" i="22"/>
  <c r="O352" i="2"/>
  <c r="K381" i="2"/>
  <c r="K401" i="2"/>
  <c r="K425" i="2"/>
  <c r="O651" i="2"/>
  <c r="N142" i="3"/>
  <c r="N140" i="3" s="1"/>
  <c r="O380" i="3"/>
  <c r="K396" i="3"/>
  <c r="K425" i="3"/>
  <c r="K455" i="3"/>
  <c r="O459" i="3"/>
  <c r="K345" i="4"/>
  <c r="K377" i="4"/>
  <c r="K396" i="4"/>
  <c r="L23" i="2"/>
  <c r="O23" i="2" s="1"/>
  <c r="P49" i="2"/>
  <c r="K83" i="2"/>
  <c r="K132" i="2"/>
  <c r="K164" i="2"/>
  <c r="K173" i="2"/>
  <c r="M273" i="2"/>
  <c r="K340" i="2"/>
  <c r="K350" i="2"/>
  <c r="L33" i="2"/>
  <c r="O33" i="2" s="1"/>
  <c r="O405" i="2"/>
  <c r="K449" i="2"/>
  <c r="K464" i="2"/>
  <c r="K471" i="2"/>
  <c r="K474" i="2"/>
  <c r="K501" i="2"/>
  <c r="K503" i="2"/>
  <c r="K505" i="2"/>
  <c r="K507" i="2"/>
  <c r="K509" i="2"/>
  <c r="K511" i="2"/>
  <c r="K513" i="2"/>
  <c r="K515" i="2"/>
  <c r="K561" i="2"/>
  <c r="K626" i="2"/>
  <c r="O648" i="2"/>
  <c r="O649" i="2"/>
  <c r="O650" i="2"/>
  <c r="L57" i="3"/>
  <c r="O57" i="3" s="1"/>
  <c r="P144" i="3"/>
  <c r="K200" i="3"/>
  <c r="M271" i="3"/>
  <c r="O404" i="3"/>
  <c r="O439" i="3"/>
  <c r="O457" i="3"/>
  <c r="K631" i="3"/>
  <c r="O651" i="3"/>
  <c r="K92" i="4"/>
  <c r="M273" i="4"/>
  <c r="L314" i="4"/>
  <c r="L312" i="4" s="1"/>
  <c r="K343" i="4"/>
  <c r="K372" i="4"/>
  <c r="K397" i="4"/>
  <c r="K418" i="4"/>
  <c r="K431" i="4"/>
  <c r="K81" i="2"/>
  <c r="M96" i="2"/>
  <c r="M94" i="2" s="1"/>
  <c r="M298" i="2"/>
  <c r="M298" i="1" s="1"/>
  <c r="K349" i="2"/>
  <c r="K377" i="2"/>
  <c r="O403" i="2"/>
  <c r="K469" i="2"/>
  <c r="K624" i="2"/>
  <c r="L24" i="3"/>
  <c r="O24" i="3" s="1"/>
  <c r="J308" i="1"/>
  <c r="N644" i="3"/>
  <c r="N640" i="3" s="1"/>
  <c r="N638" i="3" s="1"/>
  <c r="N636" i="3" s="1"/>
  <c r="N26" i="2"/>
  <c r="N16" i="2" s="1"/>
  <c r="P122" i="2"/>
  <c r="O228" i="2"/>
  <c r="K304" i="2"/>
  <c r="M331" i="2"/>
  <c r="O353" i="2"/>
  <c r="K375" i="2"/>
  <c r="N34" i="2"/>
  <c r="N14" i="2" s="1"/>
  <c r="O401" i="2"/>
  <c r="O406" i="2"/>
  <c r="K452" i="2"/>
  <c r="K467" i="2"/>
  <c r="K483" i="2"/>
  <c r="K485" i="2"/>
  <c r="K487" i="2"/>
  <c r="K489" i="2"/>
  <c r="K491" i="2"/>
  <c r="K493" i="2"/>
  <c r="K495" i="2"/>
  <c r="O553" i="2"/>
  <c r="K87" i="3"/>
  <c r="K265" i="3"/>
  <c r="N292" i="3"/>
  <c r="N290" i="3" s="1"/>
  <c r="J304" i="1"/>
  <c r="K418" i="3"/>
  <c r="K421" i="3"/>
  <c r="K429" i="3"/>
  <c r="K432" i="3"/>
  <c r="K597" i="3"/>
  <c r="O601" i="3"/>
  <c r="O671" i="3"/>
  <c r="K370" i="4"/>
  <c r="N31" i="4"/>
  <c r="O61" i="2"/>
  <c r="K92" i="2"/>
  <c r="K200" i="2"/>
  <c r="K270" i="2"/>
  <c r="L333" i="2"/>
  <c r="O333" i="2" s="1"/>
  <c r="O351" i="2"/>
  <c r="K420" i="2"/>
  <c r="K432" i="2"/>
  <c r="K475" i="2"/>
  <c r="K477" i="2"/>
  <c r="K479" i="2"/>
  <c r="K481" i="2"/>
  <c r="O551" i="2"/>
  <c r="O668" i="2"/>
  <c r="N55" i="3"/>
  <c r="N53" i="3" s="1"/>
  <c r="K424" i="3"/>
  <c r="O533" i="3"/>
  <c r="O599" i="3"/>
  <c r="O650" i="3"/>
  <c r="O49" i="4"/>
  <c r="K113" i="4"/>
  <c r="L122" i="4"/>
  <c r="K185" i="4"/>
  <c r="K270" i="4"/>
  <c r="O349" i="4"/>
  <c r="O406" i="4"/>
  <c r="K185" i="2"/>
  <c r="K466" i="2"/>
  <c r="O599" i="2"/>
  <c r="P70" i="3"/>
  <c r="J76" i="1"/>
  <c r="M96" i="3"/>
  <c r="O228" i="3"/>
  <c r="M292" i="3"/>
  <c r="P292" i="3" s="1"/>
  <c r="N333" i="1"/>
  <c r="N31" i="3"/>
  <c r="N29" i="3" s="1"/>
  <c r="M142" i="4"/>
  <c r="M140" i="4" s="1"/>
  <c r="K422" i="4"/>
  <c r="K533" i="4"/>
  <c r="O535" i="4"/>
  <c r="N644" i="4"/>
  <c r="N640" i="4" s="1"/>
  <c r="N638" i="4" s="1"/>
  <c r="N636" i="4" s="1"/>
  <c r="O649" i="4"/>
  <c r="O49" i="5"/>
  <c r="N26" i="5"/>
  <c r="N16" i="5" s="1"/>
  <c r="K113" i="5"/>
  <c r="O279" i="5"/>
  <c r="K285" i="5"/>
  <c r="N292" i="5"/>
  <c r="N290" i="5" s="1"/>
  <c r="L333" i="5"/>
  <c r="O333" i="5" s="1"/>
  <c r="K380" i="5"/>
  <c r="O406" i="5"/>
  <c r="K425" i="5"/>
  <c r="K597" i="5"/>
  <c r="K624" i="5"/>
  <c r="K628" i="5"/>
  <c r="J651" i="5"/>
  <c r="N126" i="1"/>
  <c r="K138" i="6"/>
  <c r="K270" i="6"/>
  <c r="P294" i="6"/>
  <c r="M292" i="6"/>
  <c r="P337" i="11"/>
  <c r="M26" i="11"/>
  <c r="M16" i="11" s="1"/>
  <c r="K432" i="4"/>
  <c r="O435" i="4"/>
  <c r="K465" i="4"/>
  <c r="N34" i="4"/>
  <c r="N14" i="4" s="1"/>
  <c r="M120" i="5"/>
  <c r="N222" i="5"/>
  <c r="N220" i="5" s="1"/>
  <c r="M312" i="5"/>
  <c r="M310" i="5" s="1"/>
  <c r="K498" i="5"/>
  <c r="K573" i="5"/>
  <c r="J200" i="1"/>
  <c r="J243" i="1"/>
  <c r="M273" i="6"/>
  <c r="K369" i="6"/>
  <c r="I367" i="6"/>
  <c r="K367" i="6" s="1"/>
  <c r="M220" i="10"/>
  <c r="O566" i="4"/>
  <c r="O599" i="4"/>
  <c r="N32" i="5"/>
  <c r="N30" i="5" s="1"/>
  <c r="K109" i="5"/>
  <c r="N331" i="5"/>
  <c r="N329" i="5" s="1"/>
  <c r="K341" i="5"/>
  <c r="O404" i="5"/>
  <c r="K421" i="5"/>
  <c r="K64" i="6"/>
  <c r="P70" i="6"/>
  <c r="K85" i="6"/>
  <c r="K201" i="6"/>
  <c r="K267" i="6"/>
  <c r="L294" i="6"/>
  <c r="L292" i="6" s="1"/>
  <c r="P314" i="6"/>
  <c r="M312" i="6"/>
  <c r="K428" i="4"/>
  <c r="K449" i="4"/>
  <c r="K497" i="4"/>
  <c r="O564" i="4"/>
  <c r="O597" i="4"/>
  <c r="K629" i="4"/>
  <c r="K632" i="4"/>
  <c r="K635" i="4"/>
  <c r="K668" i="4"/>
  <c r="L70" i="5"/>
  <c r="O70" i="5" s="1"/>
  <c r="K304" i="5"/>
  <c r="P333" i="5"/>
  <c r="N34" i="5"/>
  <c r="N14" i="5" s="1"/>
  <c r="K397" i="5"/>
  <c r="K449" i="5"/>
  <c r="K466" i="5"/>
  <c r="K481" i="5"/>
  <c r="K499" i="5"/>
  <c r="O564" i="5"/>
  <c r="K634" i="5"/>
  <c r="P45" i="6"/>
  <c r="K158" i="6"/>
  <c r="L254" i="6"/>
  <c r="O254" i="6" s="1"/>
  <c r="K265" i="6"/>
  <c r="L23" i="6"/>
  <c r="P96" i="9"/>
  <c r="M94" i="9"/>
  <c r="P94" i="9" s="1"/>
  <c r="O650" i="4"/>
  <c r="K381" i="5"/>
  <c r="K427" i="5"/>
  <c r="K547" i="5"/>
  <c r="L98" i="6"/>
  <c r="K164" i="6"/>
  <c r="K235" i="6"/>
  <c r="M337" i="6"/>
  <c r="M331" i="6" s="1"/>
  <c r="L292" i="7"/>
  <c r="J80" i="1"/>
  <c r="J234" i="1"/>
  <c r="N34" i="9"/>
  <c r="N14" i="9" s="1"/>
  <c r="N644" i="9"/>
  <c r="N640" i="9" s="1"/>
  <c r="N638" i="9" s="1"/>
  <c r="N636" i="9" s="1"/>
  <c r="M310" i="11"/>
  <c r="P310" i="11" s="1"/>
  <c r="P312" i="11"/>
  <c r="O354" i="19"/>
  <c r="L34" i="19"/>
  <c r="K421" i="6"/>
  <c r="K424" i="6"/>
  <c r="K623" i="6"/>
  <c r="K632" i="6"/>
  <c r="L31" i="7"/>
  <c r="L11" i="7" s="1"/>
  <c r="O11" i="7" s="1"/>
  <c r="K200" i="7"/>
  <c r="M222" i="7"/>
  <c r="M292" i="7"/>
  <c r="K381" i="7"/>
  <c r="K431" i="7"/>
  <c r="M55" i="8"/>
  <c r="M53" i="8" s="1"/>
  <c r="K138" i="8"/>
  <c r="K216" i="8"/>
  <c r="N22" i="8"/>
  <c r="O349" i="8"/>
  <c r="O404" i="8"/>
  <c r="K427" i="8"/>
  <c r="K573" i="8"/>
  <c r="O601" i="8"/>
  <c r="K616" i="8"/>
  <c r="K632" i="8"/>
  <c r="K428" i="9"/>
  <c r="K449" i="9"/>
  <c r="L640" i="9"/>
  <c r="L638" i="9" s="1"/>
  <c r="L636" i="9" s="1"/>
  <c r="M22" i="10"/>
  <c r="M12" i="10" s="1"/>
  <c r="K270" i="10"/>
  <c r="N273" i="10"/>
  <c r="P273" i="10" s="1"/>
  <c r="M292" i="10"/>
  <c r="P333" i="10"/>
  <c r="N33" i="10"/>
  <c r="N13" i="10" s="1"/>
  <c r="K612" i="10"/>
  <c r="K614" i="10"/>
  <c r="O665" i="10"/>
  <c r="L26" i="11"/>
  <c r="L16" i="11" s="1"/>
  <c r="P122" i="11"/>
  <c r="M120" i="11"/>
  <c r="P120" i="11" s="1"/>
  <c r="K345" i="11"/>
  <c r="O337" i="6"/>
  <c r="K613" i="6"/>
  <c r="K621" i="6"/>
  <c r="M252" i="7"/>
  <c r="M312" i="7"/>
  <c r="N331" i="7"/>
  <c r="N329" i="7" s="1"/>
  <c r="K396" i="7"/>
  <c r="K402" i="7"/>
  <c r="K425" i="7"/>
  <c r="I367" i="8"/>
  <c r="K367" i="8" s="1"/>
  <c r="K425" i="8"/>
  <c r="K614" i="8"/>
  <c r="N26" i="9"/>
  <c r="N16" i="9" s="1"/>
  <c r="N55" i="9"/>
  <c r="P55" i="9" s="1"/>
  <c r="L122" i="9"/>
  <c r="O148" i="9"/>
  <c r="M222" i="9"/>
  <c r="M220" i="9" s="1"/>
  <c r="L24" i="9"/>
  <c r="O24" i="9" s="1"/>
  <c r="M331" i="9"/>
  <c r="M329" i="9" s="1"/>
  <c r="K402" i="9"/>
  <c r="K450" i="9"/>
  <c r="O564" i="9"/>
  <c r="K615" i="9"/>
  <c r="N43" i="10"/>
  <c r="N41" i="10" s="1"/>
  <c r="P57" i="10"/>
  <c r="K173" i="10"/>
  <c r="K216" i="10"/>
  <c r="K235" i="10"/>
  <c r="P275" i="10"/>
  <c r="O349" i="10"/>
  <c r="N31" i="10"/>
  <c r="N11" i="10" s="1"/>
  <c r="N9" i="10" s="1"/>
  <c r="K368" i="10"/>
  <c r="K380" i="10"/>
  <c r="O385" i="10"/>
  <c r="K417" i="10"/>
  <c r="K420" i="10"/>
  <c r="K533" i="10"/>
  <c r="K649" i="10"/>
  <c r="L294" i="11"/>
  <c r="K340" i="11"/>
  <c r="O457" i="11"/>
  <c r="P333" i="6"/>
  <c r="K611" i="6"/>
  <c r="K619" i="6"/>
  <c r="I367" i="7"/>
  <c r="K367" i="7" s="1"/>
  <c r="O568" i="7"/>
  <c r="L122" i="8"/>
  <c r="L120" i="8" s="1"/>
  <c r="M273" i="8"/>
  <c r="K375" i="8"/>
  <c r="K397" i="8"/>
  <c r="K402" i="8"/>
  <c r="N33" i="8"/>
  <c r="N13" i="8" s="1"/>
  <c r="O564" i="8"/>
  <c r="O597" i="8"/>
  <c r="K612" i="8"/>
  <c r="K624" i="8"/>
  <c r="K628" i="8"/>
  <c r="P45" i="9"/>
  <c r="N34" i="10"/>
  <c r="N14" i="10" s="1"/>
  <c r="P70" i="11"/>
  <c r="M68" i="11"/>
  <c r="P68" i="11" s="1"/>
  <c r="P254" i="11"/>
  <c r="M252" i="11"/>
  <c r="K626" i="11"/>
  <c r="K624" i="11"/>
  <c r="O404" i="13"/>
  <c r="L32" i="13"/>
  <c r="L30" i="13" s="1"/>
  <c r="K573" i="6"/>
  <c r="N644" i="6"/>
  <c r="N640" i="6" s="1"/>
  <c r="N638" i="6" s="1"/>
  <c r="N636" i="6" s="1"/>
  <c r="K663" i="6"/>
  <c r="K185" i="7"/>
  <c r="K235" i="7"/>
  <c r="M273" i="7"/>
  <c r="P273" i="7" s="1"/>
  <c r="K397" i="7"/>
  <c r="K421" i="7"/>
  <c r="O435" i="7"/>
  <c r="K597" i="7"/>
  <c r="M120" i="8"/>
  <c r="P120" i="8" s="1"/>
  <c r="K164" i="8"/>
  <c r="K173" i="8"/>
  <c r="K350" i="8"/>
  <c r="K416" i="9"/>
  <c r="K597" i="9"/>
  <c r="K616" i="9"/>
  <c r="K633" i="9"/>
  <c r="N142" i="10"/>
  <c r="K200" i="10"/>
  <c r="K418" i="10"/>
  <c r="K426" i="10"/>
  <c r="K629" i="10"/>
  <c r="O49" i="11"/>
  <c r="P98" i="11"/>
  <c r="M96" i="11"/>
  <c r="P96" i="11" s="1"/>
  <c r="K219" i="11"/>
  <c r="N32" i="11"/>
  <c r="N30" i="11" s="1"/>
  <c r="K369" i="12"/>
  <c r="I367" i="12"/>
  <c r="K367" i="12" s="1"/>
  <c r="P122" i="13"/>
  <c r="M120" i="13"/>
  <c r="P120" i="13" s="1"/>
  <c r="N33" i="13"/>
  <c r="N13" i="13" s="1"/>
  <c r="N312" i="16"/>
  <c r="N310" i="16" s="1"/>
  <c r="K401" i="6"/>
  <c r="K418" i="6"/>
  <c r="K428" i="6"/>
  <c r="K449" i="6"/>
  <c r="K466" i="6"/>
  <c r="O533" i="6"/>
  <c r="K617" i="6"/>
  <c r="K629" i="6"/>
  <c r="K650" i="6"/>
  <c r="P144" i="7"/>
  <c r="K158" i="7"/>
  <c r="K199" i="7"/>
  <c r="L275" i="7"/>
  <c r="O275" i="7" s="1"/>
  <c r="N290" i="7"/>
  <c r="K341" i="7"/>
  <c r="O347" i="7"/>
  <c r="K499" i="7"/>
  <c r="O566" i="7"/>
  <c r="K628" i="7"/>
  <c r="K631" i="7"/>
  <c r="K634" i="7"/>
  <c r="M312" i="8"/>
  <c r="P312" i="8" s="1"/>
  <c r="O337" i="8"/>
  <c r="K376" i="8"/>
  <c r="K381" i="8"/>
  <c r="K401" i="8"/>
  <c r="O406" i="8"/>
  <c r="K419" i="8"/>
  <c r="K431" i="8"/>
  <c r="K435" i="8"/>
  <c r="K449" i="8"/>
  <c r="O651" i="8"/>
  <c r="N32" i="9"/>
  <c r="N30" i="9" s="1"/>
  <c r="N31" i="9"/>
  <c r="N29" i="9" s="1"/>
  <c r="O406" i="9"/>
  <c r="K430" i="9"/>
  <c r="K614" i="9"/>
  <c r="K149" i="10"/>
  <c r="K158" i="10"/>
  <c r="K429" i="10"/>
  <c r="K432" i="10"/>
  <c r="K618" i="10"/>
  <c r="P224" i="11"/>
  <c r="M222" i="11"/>
  <c r="M220" i="11" s="1"/>
  <c r="L33" i="11"/>
  <c r="O33" i="11" s="1"/>
  <c r="O353" i="11"/>
  <c r="P57" i="12"/>
  <c r="M55" i="12"/>
  <c r="M53" i="12" s="1"/>
  <c r="M118" i="12"/>
  <c r="P118" i="12" s="1"/>
  <c r="P120" i="12"/>
  <c r="N31" i="13"/>
  <c r="N29" i="13" s="1"/>
  <c r="O568" i="13"/>
  <c r="N34" i="13"/>
  <c r="N14" i="13" s="1"/>
  <c r="K249" i="12"/>
  <c r="K421" i="12"/>
  <c r="K547" i="12"/>
  <c r="O649" i="12"/>
  <c r="O661" i="12"/>
  <c r="N26" i="13"/>
  <c r="N16" i="13" s="1"/>
  <c r="K424" i="13"/>
  <c r="O455" i="13"/>
  <c r="K371" i="16"/>
  <c r="I367" i="16"/>
  <c r="K367" i="16" s="1"/>
  <c r="K616" i="10"/>
  <c r="K630" i="10"/>
  <c r="K635" i="10"/>
  <c r="O650" i="10"/>
  <c r="K450" i="11"/>
  <c r="K499" i="11"/>
  <c r="K419" i="12"/>
  <c r="K431" i="12"/>
  <c r="O651" i="12"/>
  <c r="O668" i="12"/>
  <c r="M312" i="13"/>
  <c r="K422" i="13"/>
  <c r="O566" i="13"/>
  <c r="O671" i="13"/>
  <c r="J671" i="13"/>
  <c r="K671" i="13" s="1"/>
  <c r="N26" i="16"/>
  <c r="N16" i="16" s="1"/>
  <c r="N34" i="16"/>
  <c r="N14" i="16" s="1"/>
  <c r="L32" i="17"/>
  <c r="P45" i="17"/>
  <c r="M43" i="17"/>
  <c r="M273" i="11"/>
  <c r="P273" i="11" s="1"/>
  <c r="M292" i="11"/>
  <c r="K564" i="11"/>
  <c r="K634" i="11"/>
  <c r="M102" i="12"/>
  <c r="M142" i="12"/>
  <c r="K213" i="12"/>
  <c r="M220" i="12"/>
  <c r="P224" i="12"/>
  <c r="K235" i="12"/>
  <c r="K341" i="12"/>
  <c r="O347" i="12"/>
  <c r="K350" i="12"/>
  <c r="O401" i="12"/>
  <c r="O404" i="12"/>
  <c r="K417" i="12"/>
  <c r="K429" i="12"/>
  <c r="K564" i="12"/>
  <c r="O568" i="12"/>
  <c r="O601" i="12"/>
  <c r="K628" i="12"/>
  <c r="K631" i="12"/>
  <c r="K634" i="12"/>
  <c r="K650" i="12"/>
  <c r="K663" i="12"/>
  <c r="P45" i="13"/>
  <c r="K64" i="13"/>
  <c r="K189" i="13"/>
  <c r="K199" i="13"/>
  <c r="K416" i="13"/>
  <c r="K432" i="13"/>
  <c r="O435" i="13"/>
  <c r="O533" i="13"/>
  <c r="K619" i="13"/>
  <c r="K631" i="13"/>
  <c r="K648" i="13"/>
  <c r="O649" i="13"/>
  <c r="O650" i="13"/>
  <c r="K663" i="13"/>
  <c r="M329" i="14"/>
  <c r="O671" i="14"/>
  <c r="P294" i="16"/>
  <c r="M292" i="16"/>
  <c r="P292" i="16" s="1"/>
  <c r="K328" i="16"/>
  <c r="O383" i="16"/>
  <c r="K624" i="10"/>
  <c r="K628" i="10"/>
  <c r="K633" i="10"/>
  <c r="K665" i="10"/>
  <c r="L254" i="11"/>
  <c r="L252" i="11" s="1"/>
  <c r="O252" i="11" s="1"/>
  <c r="K401" i="11"/>
  <c r="N96" i="12"/>
  <c r="N94" i="12" s="1"/>
  <c r="M312" i="12"/>
  <c r="P312" i="12" s="1"/>
  <c r="K498" i="12"/>
  <c r="O580" i="12"/>
  <c r="O599" i="12"/>
  <c r="L45" i="13"/>
  <c r="L43" i="13" s="1"/>
  <c r="L57" i="13"/>
  <c r="K216" i="13"/>
  <c r="K229" i="13"/>
  <c r="K235" i="13"/>
  <c r="K401" i="13"/>
  <c r="O406" i="13"/>
  <c r="K464" i="13"/>
  <c r="K473" i="13"/>
  <c r="K482" i="13"/>
  <c r="K497" i="13"/>
  <c r="K629" i="13"/>
  <c r="N26" i="14"/>
  <c r="N16" i="14" s="1"/>
  <c r="N96" i="14"/>
  <c r="N94" i="14" s="1"/>
  <c r="K616" i="14"/>
  <c r="L32" i="16"/>
  <c r="L30" i="16" s="1"/>
  <c r="P45" i="16"/>
  <c r="L70" i="16"/>
  <c r="O70" i="16" s="1"/>
  <c r="O534" i="16"/>
  <c r="L31" i="16"/>
  <c r="L11" i="16" s="1"/>
  <c r="O11" i="16" s="1"/>
  <c r="O568" i="10"/>
  <c r="K573" i="10"/>
  <c r="O599" i="10"/>
  <c r="K634" i="10"/>
  <c r="L45" i="11"/>
  <c r="L43" i="11" s="1"/>
  <c r="L41" i="11" s="1"/>
  <c r="L224" i="11"/>
  <c r="M331" i="11"/>
  <c r="K416" i="11"/>
  <c r="K428" i="11"/>
  <c r="K449" i="11"/>
  <c r="K464" i="11"/>
  <c r="K498" i="11"/>
  <c r="O566" i="11"/>
  <c r="K629" i="11"/>
  <c r="K632" i="11"/>
  <c r="K635" i="11"/>
  <c r="N644" i="11"/>
  <c r="N640" i="11" s="1"/>
  <c r="N638" i="11" s="1"/>
  <c r="N636" i="11" s="1"/>
  <c r="N26" i="12"/>
  <c r="N16" i="12" s="1"/>
  <c r="K265" i="12"/>
  <c r="K349" i="12"/>
  <c r="O354" i="12"/>
  <c r="K402" i="12"/>
  <c r="K425" i="12"/>
  <c r="O597" i="12"/>
  <c r="K629" i="12"/>
  <c r="K635" i="12"/>
  <c r="K668" i="12"/>
  <c r="J671" i="12"/>
  <c r="K671" i="12" s="1"/>
  <c r="K204" i="13"/>
  <c r="K213" i="13"/>
  <c r="K449" i="13"/>
  <c r="K547" i="13"/>
  <c r="K618" i="13"/>
  <c r="K615" i="13"/>
  <c r="O648" i="13"/>
  <c r="K619" i="14"/>
  <c r="K612" i="14"/>
  <c r="L33" i="15"/>
  <c r="O33" i="15" s="1"/>
  <c r="O458" i="15"/>
  <c r="K421" i="16"/>
  <c r="K200" i="14"/>
  <c r="L294" i="14"/>
  <c r="O294" i="14" s="1"/>
  <c r="P333" i="14"/>
  <c r="K396" i="14"/>
  <c r="K432" i="14"/>
  <c r="K455" i="14"/>
  <c r="O457" i="14"/>
  <c r="K533" i="14"/>
  <c r="K215" i="15"/>
  <c r="K264" i="15"/>
  <c r="K340" i="15"/>
  <c r="O347" i="15"/>
  <c r="K422" i="15"/>
  <c r="K473" i="15"/>
  <c r="K547" i="15"/>
  <c r="O580" i="15"/>
  <c r="O599" i="15"/>
  <c r="J651" i="15"/>
  <c r="J671" i="15"/>
  <c r="N142" i="16"/>
  <c r="N140" i="16" s="1"/>
  <c r="K229" i="16"/>
  <c r="M271" i="16"/>
  <c r="N292" i="16"/>
  <c r="N290" i="16" s="1"/>
  <c r="K343" i="16"/>
  <c r="K398" i="16"/>
  <c r="K424" i="16"/>
  <c r="K435" i="16"/>
  <c r="O437" i="16"/>
  <c r="O455" i="16"/>
  <c r="K564" i="16"/>
  <c r="K249" i="17"/>
  <c r="K185" i="18"/>
  <c r="K309" i="18"/>
  <c r="K402" i="18"/>
  <c r="K614" i="14"/>
  <c r="K624" i="14"/>
  <c r="K631" i="14"/>
  <c r="L24" i="15"/>
  <c r="O24" i="15" s="1"/>
  <c r="N222" i="15"/>
  <c r="N220" i="15" s="1"/>
  <c r="K481" i="15"/>
  <c r="M43" i="16"/>
  <c r="M41" i="16" s="1"/>
  <c r="P294" i="18"/>
  <c r="M292" i="18"/>
  <c r="O49" i="20"/>
  <c r="L26" i="20"/>
  <c r="L16" i="20" s="1"/>
  <c r="P98" i="20"/>
  <c r="M96" i="20"/>
  <c r="M120" i="14"/>
  <c r="P120" i="14" s="1"/>
  <c r="K158" i="14"/>
  <c r="K219" i="14"/>
  <c r="L314" i="14"/>
  <c r="L312" i="14" s="1"/>
  <c r="O312" i="14" s="1"/>
  <c r="K328" i="14"/>
  <c r="O347" i="14"/>
  <c r="K418" i="14"/>
  <c r="K424" i="14"/>
  <c r="K430" i="14"/>
  <c r="O455" i="14"/>
  <c r="K499" i="14"/>
  <c r="O566" i="14"/>
  <c r="K620" i="14"/>
  <c r="K629" i="14"/>
  <c r="K632" i="14"/>
  <c r="O651" i="14"/>
  <c r="K265" i="15"/>
  <c r="M273" i="15"/>
  <c r="M312" i="15"/>
  <c r="K343" i="15"/>
  <c r="K418" i="15"/>
  <c r="K430" i="15"/>
  <c r="O459" i="15"/>
  <c r="K464" i="15"/>
  <c r="K482" i="15"/>
  <c r="K498" i="15"/>
  <c r="K564" i="15"/>
  <c r="O584" i="15"/>
  <c r="L57" i="16"/>
  <c r="O57" i="16" s="1"/>
  <c r="K219" i="16"/>
  <c r="K270" i="16"/>
  <c r="L294" i="16"/>
  <c r="L292" i="16" s="1"/>
  <c r="L333" i="16"/>
  <c r="L331" i="16" s="1"/>
  <c r="K396" i="16"/>
  <c r="O404" i="16"/>
  <c r="K420" i="16"/>
  <c r="K432" i="16"/>
  <c r="O435" i="16"/>
  <c r="N32" i="16"/>
  <c r="N30" i="16" s="1"/>
  <c r="K630" i="16"/>
  <c r="K633" i="16"/>
  <c r="K265" i="17"/>
  <c r="K369" i="17"/>
  <c r="I367" i="17"/>
  <c r="K367" i="17" s="1"/>
  <c r="K164" i="19"/>
  <c r="N33" i="14"/>
  <c r="N13" i="14" s="1"/>
  <c r="K618" i="14"/>
  <c r="N26" i="15"/>
  <c r="N16" i="15" s="1"/>
  <c r="N31" i="16"/>
  <c r="N29" i="16" s="1"/>
  <c r="N33" i="16"/>
  <c r="N13" i="16" s="1"/>
  <c r="L640" i="16"/>
  <c r="L638" i="16" s="1"/>
  <c r="O49" i="17"/>
  <c r="P98" i="17"/>
  <c r="M96" i="17"/>
  <c r="K173" i="14"/>
  <c r="L254" i="14"/>
  <c r="L252" i="14" s="1"/>
  <c r="O252" i="14" s="1"/>
  <c r="K343" i="14"/>
  <c r="K416" i="14"/>
  <c r="K419" i="14"/>
  <c r="K422" i="14"/>
  <c r="K425" i="14"/>
  <c r="K428" i="14"/>
  <c r="K431" i="14"/>
  <c r="K435" i="14"/>
  <c r="O459" i="14"/>
  <c r="K630" i="14"/>
  <c r="O649" i="14"/>
  <c r="O665" i="14"/>
  <c r="O668" i="14"/>
  <c r="P45" i="15"/>
  <c r="K164" i="15"/>
  <c r="K173" i="15"/>
  <c r="K426" i="15"/>
  <c r="O455" i="15"/>
  <c r="K499" i="15"/>
  <c r="N32" i="15"/>
  <c r="N30" i="15" s="1"/>
  <c r="N34" i="15"/>
  <c r="N14" i="15" s="1"/>
  <c r="O582" i="15"/>
  <c r="N644" i="15"/>
  <c r="N640" i="15" s="1"/>
  <c r="N638" i="15" s="1"/>
  <c r="N636" i="15" s="1"/>
  <c r="P224" i="16"/>
  <c r="O347" i="16"/>
  <c r="K397" i="16"/>
  <c r="K416" i="16"/>
  <c r="K428" i="16"/>
  <c r="O439" i="16"/>
  <c r="K547" i="16"/>
  <c r="O601" i="16"/>
  <c r="K631" i="16"/>
  <c r="P333" i="18"/>
  <c r="N644" i="18"/>
  <c r="N640" i="18" s="1"/>
  <c r="N638" i="18" s="1"/>
  <c r="N636" i="18" s="1"/>
  <c r="M140" i="19"/>
  <c r="L24" i="17"/>
  <c r="P224" i="17"/>
  <c r="M271" i="17"/>
  <c r="L333" i="17"/>
  <c r="L331" i="17" s="1"/>
  <c r="K343" i="17"/>
  <c r="K426" i="17"/>
  <c r="K431" i="17"/>
  <c r="K450" i="17"/>
  <c r="O564" i="17"/>
  <c r="K649" i="17"/>
  <c r="L122" i="18"/>
  <c r="L120" i="18" s="1"/>
  <c r="P224" i="18"/>
  <c r="K380" i="18"/>
  <c r="K533" i="18"/>
  <c r="O537" i="18"/>
  <c r="K620" i="18"/>
  <c r="K622" i="18"/>
  <c r="K624" i="18"/>
  <c r="K626" i="18"/>
  <c r="M118" i="19"/>
  <c r="N222" i="19"/>
  <c r="N220" i="19" s="1"/>
  <c r="N252" i="19"/>
  <c r="N33" i="19"/>
  <c r="N13" i="19" s="1"/>
  <c r="N96" i="21"/>
  <c r="N94" i="21" s="1"/>
  <c r="K117" i="17"/>
  <c r="N32" i="17"/>
  <c r="N30" i="17" s="1"/>
  <c r="O535" i="18"/>
  <c r="K615" i="18"/>
  <c r="K618" i="18"/>
  <c r="O102" i="19"/>
  <c r="M22" i="20"/>
  <c r="M12" i="20" s="1"/>
  <c r="P45" i="20"/>
  <c r="M120" i="20"/>
  <c r="M118" i="20" s="1"/>
  <c r="P118" i="20" s="1"/>
  <c r="P122" i="20"/>
  <c r="P254" i="20"/>
  <c r="M252" i="20"/>
  <c r="N31" i="20"/>
  <c r="N11" i="20" s="1"/>
  <c r="N9" i="20" s="1"/>
  <c r="K597" i="20"/>
  <c r="O601" i="20"/>
  <c r="K628" i="20"/>
  <c r="N26" i="22"/>
  <c r="N16" i="22" s="1"/>
  <c r="M252" i="17"/>
  <c r="K266" i="17"/>
  <c r="K270" i="17"/>
  <c r="O347" i="17"/>
  <c r="K350" i="17"/>
  <c r="K375" i="17"/>
  <c r="O385" i="17"/>
  <c r="K401" i="17"/>
  <c r="O406" i="17"/>
  <c r="K427" i="17"/>
  <c r="K432" i="17"/>
  <c r="O435" i="17"/>
  <c r="K481" i="17"/>
  <c r="K547" i="17"/>
  <c r="K630" i="17"/>
  <c r="K633" i="17"/>
  <c r="P275" i="18"/>
  <c r="K285" i="18"/>
  <c r="L294" i="18"/>
  <c r="O294" i="18" s="1"/>
  <c r="L314" i="18"/>
  <c r="L312" i="18" s="1"/>
  <c r="K328" i="18"/>
  <c r="K345" i="18"/>
  <c r="O401" i="18"/>
  <c r="K450" i="18"/>
  <c r="K497" i="18"/>
  <c r="O533" i="18"/>
  <c r="K580" i="18"/>
  <c r="O584" i="18"/>
  <c r="K613" i="18"/>
  <c r="M68" i="19"/>
  <c r="P68" i="19" s="1"/>
  <c r="M273" i="19"/>
  <c r="M271" i="19" s="1"/>
  <c r="P314" i="19"/>
  <c r="M312" i="19"/>
  <c r="P312" i="19" s="1"/>
  <c r="P294" i="20"/>
  <c r="M292" i="20"/>
  <c r="J671" i="16"/>
  <c r="O258" i="17"/>
  <c r="K264" i="17"/>
  <c r="K368" i="17"/>
  <c r="L640" i="17"/>
  <c r="L638" i="17" s="1"/>
  <c r="L636" i="17" s="1"/>
  <c r="K149" i="18"/>
  <c r="M331" i="18"/>
  <c r="M329" i="18" s="1"/>
  <c r="K343" i="18"/>
  <c r="N34" i="18"/>
  <c r="N14" i="18" s="1"/>
  <c r="K417" i="18"/>
  <c r="K420" i="18"/>
  <c r="K423" i="18"/>
  <c r="K426" i="18"/>
  <c r="K429" i="18"/>
  <c r="K432" i="18"/>
  <c r="O437" i="18"/>
  <c r="O459" i="18"/>
  <c r="O566" i="18"/>
  <c r="O601" i="18"/>
  <c r="K611" i="18"/>
  <c r="K616" i="18"/>
  <c r="K621" i="18"/>
  <c r="K623" i="18"/>
  <c r="P45" i="19"/>
  <c r="P98" i="19"/>
  <c r="N96" i="19"/>
  <c r="N94" i="19" s="1"/>
  <c r="K110" i="19"/>
  <c r="K158" i="19"/>
  <c r="K267" i="19"/>
  <c r="M310" i="19"/>
  <c r="P310" i="19" s="1"/>
  <c r="K564" i="19"/>
  <c r="O566" i="19"/>
  <c r="K625" i="19"/>
  <c r="K626" i="19"/>
  <c r="K620" i="19"/>
  <c r="K622" i="19"/>
  <c r="M118" i="21"/>
  <c r="P57" i="17"/>
  <c r="K85" i="17"/>
  <c r="K149" i="17"/>
  <c r="N26" i="17"/>
  <c r="N16" i="17" s="1"/>
  <c r="P333" i="17"/>
  <c r="K345" i="17"/>
  <c r="K349" i="17"/>
  <c r="K376" i="17"/>
  <c r="K398" i="17"/>
  <c r="O401" i="17"/>
  <c r="O404" i="17"/>
  <c r="K417" i="17"/>
  <c r="K425" i="17"/>
  <c r="K449" i="17"/>
  <c r="K482" i="17"/>
  <c r="N34" i="17"/>
  <c r="N14" i="17" s="1"/>
  <c r="K564" i="17"/>
  <c r="O568" i="17"/>
  <c r="K628" i="17"/>
  <c r="K634" i="17"/>
  <c r="O648" i="17"/>
  <c r="K80" i="18"/>
  <c r="K83" i="18"/>
  <c r="K204" i="18"/>
  <c r="K324" i="18"/>
  <c r="K341" i="18"/>
  <c r="N31" i="18"/>
  <c r="K481" i="18"/>
  <c r="O564" i="18"/>
  <c r="K133" i="19"/>
  <c r="L144" i="19"/>
  <c r="K199" i="19"/>
  <c r="K396" i="19"/>
  <c r="K650" i="19"/>
  <c r="M68" i="20"/>
  <c r="P68" i="20" s="1"/>
  <c r="P70" i="20"/>
  <c r="K265" i="21"/>
  <c r="P122" i="22"/>
  <c r="M120" i="22"/>
  <c r="P120" i="22" s="1"/>
  <c r="N31" i="19"/>
  <c r="K427" i="19"/>
  <c r="K432" i="19"/>
  <c r="K631" i="19"/>
  <c r="K665" i="19"/>
  <c r="M53" i="20"/>
  <c r="O435" i="20"/>
  <c r="N33" i="20"/>
  <c r="N13" i="20" s="1"/>
  <c r="K164" i="21"/>
  <c r="K158" i="22"/>
  <c r="L254" i="19"/>
  <c r="L252" i="19" s="1"/>
  <c r="K340" i="19"/>
  <c r="O352" i="19"/>
  <c r="O380" i="19"/>
  <c r="O404" i="19"/>
  <c r="K422" i="19"/>
  <c r="K430" i="19"/>
  <c r="K455" i="19"/>
  <c r="O459" i="19"/>
  <c r="K589" i="19"/>
  <c r="K618" i="19"/>
  <c r="K634" i="19"/>
  <c r="O665" i="19"/>
  <c r="L70" i="20"/>
  <c r="O70" i="20" s="1"/>
  <c r="L122" i="20"/>
  <c r="M271" i="20"/>
  <c r="P271" i="20" s="1"/>
  <c r="L294" i="20"/>
  <c r="O294" i="20" s="1"/>
  <c r="K422" i="20"/>
  <c r="O533" i="20"/>
  <c r="K622" i="20"/>
  <c r="K629" i="20"/>
  <c r="K632" i="20"/>
  <c r="K249" i="21"/>
  <c r="K270" i="21"/>
  <c r="M292" i="21"/>
  <c r="P292" i="21" s="1"/>
  <c r="P294" i="21"/>
  <c r="L144" i="22"/>
  <c r="O144" i="22" s="1"/>
  <c r="L23" i="22"/>
  <c r="O23" i="22" s="1"/>
  <c r="K623" i="22"/>
  <c r="L640" i="19"/>
  <c r="L638" i="19" s="1"/>
  <c r="P224" i="22"/>
  <c r="M222" i="22"/>
  <c r="P222" i="22" s="1"/>
  <c r="P224" i="19"/>
  <c r="K264" i="19"/>
  <c r="K270" i="19"/>
  <c r="K341" i="19"/>
  <c r="O347" i="19"/>
  <c r="K350" i="19"/>
  <c r="K402" i="19"/>
  <c r="K423" i="19"/>
  <c r="K435" i="19"/>
  <c r="O455" i="19"/>
  <c r="K619" i="19"/>
  <c r="K663" i="19"/>
  <c r="J671" i="19"/>
  <c r="L224" i="20"/>
  <c r="L222" i="20" s="1"/>
  <c r="N273" i="20"/>
  <c r="N271" i="20" s="1"/>
  <c r="K423" i="20"/>
  <c r="O537" i="20"/>
  <c r="K620" i="20"/>
  <c r="K626" i="20"/>
  <c r="K663" i="20"/>
  <c r="K219" i="21"/>
  <c r="P314" i="21"/>
  <c r="M312" i="21"/>
  <c r="P312" i="21" s="1"/>
  <c r="O665" i="20"/>
  <c r="N68" i="21"/>
  <c r="N66" i="21" s="1"/>
  <c r="K133" i="21"/>
  <c r="K200" i="21"/>
  <c r="L275" i="21"/>
  <c r="L314" i="21"/>
  <c r="L312" i="21" s="1"/>
  <c r="O312" i="21" s="1"/>
  <c r="O354" i="21"/>
  <c r="I367" i="21"/>
  <c r="K367" i="21" s="1"/>
  <c r="K381" i="21"/>
  <c r="K398" i="21"/>
  <c r="K426" i="21"/>
  <c r="K435" i="21"/>
  <c r="O437" i="21"/>
  <c r="K450" i="21"/>
  <c r="N34" i="21"/>
  <c r="N14" i="21" s="1"/>
  <c r="O661" i="21"/>
  <c r="J671" i="21"/>
  <c r="K671" i="21" s="1"/>
  <c r="N43" i="22"/>
  <c r="N41" i="22" s="1"/>
  <c r="P57" i="22"/>
  <c r="K164" i="22"/>
  <c r="L254" i="22"/>
  <c r="K350" i="22"/>
  <c r="K368" i="22"/>
  <c r="K401" i="22"/>
  <c r="O406" i="22"/>
  <c r="K435" i="22"/>
  <c r="K547" i="22"/>
  <c r="K573" i="22"/>
  <c r="O601" i="22"/>
  <c r="K630" i="22"/>
  <c r="J651" i="22"/>
  <c r="L23" i="21"/>
  <c r="O23" i="21" s="1"/>
  <c r="K81" i="21"/>
  <c r="L294" i="21"/>
  <c r="L292" i="21" s="1"/>
  <c r="K328" i="21"/>
  <c r="K340" i="21"/>
  <c r="O352" i="21"/>
  <c r="N33" i="22"/>
  <c r="N13" i="22" s="1"/>
  <c r="K375" i="22"/>
  <c r="N34" i="22"/>
  <c r="N14" i="22" s="1"/>
  <c r="K626" i="22"/>
  <c r="N33" i="21"/>
  <c r="N13" i="21" s="1"/>
  <c r="O401" i="21"/>
  <c r="O564" i="21"/>
  <c r="O650" i="21"/>
  <c r="O597" i="22"/>
  <c r="L640" i="22"/>
  <c r="O640" i="22" s="1"/>
  <c r="K87" i="21"/>
  <c r="K149" i="21"/>
  <c r="K158" i="21"/>
  <c r="K189" i="21"/>
  <c r="K199" i="21"/>
  <c r="L224" i="21"/>
  <c r="L222" i="21" s="1"/>
  <c r="L220" i="21" s="1"/>
  <c r="N273" i="21"/>
  <c r="N271" i="21" s="1"/>
  <c r="P333" i="21"/>
  <c r="N26" i="21"/>
  <c r="N16" i="21" s="1"/>
  <c r="K349" i="21"/>
  <c r="K370" i="21"/>
  <c r="K422" i="21"/>
  <c r="K430" i="21"/>
  <c r="K455" i="21"/>
  <c r="O457" i="21"/>
  <c r="O584" i="21"/>
  <c r="K589" i="21"/>
  <c r="K597" i="21"/>
  <c r="L122" i="22"/>
  <c r="O122" i="22" s="1"/>
  <c r="K428" i="22"/>
  <c r="O435" i="22"/>
  <c r="O537" i="22"/>
  <c r="N32" i="22"/>
  <c r="N30" i="22" s="1"/>
  <c r="K622" i="22"/>
  <c r="K631" i="22"/>
  <c r="O599" i="21"/>
  <c r="K629" i="21"/>
  <c r="K632" i="21"/>
  <c r="K635" i="21"/>
  <c r="K665" i="21"/>
  <c r="L98" i="22"/>
  <c r="L96" i="22" s="1"/>
  <c r="O96" i="22" s="1"/>
  <c r="M312" i="22"/>
  <c r="L333" i="22"/>
  <c r="L331" i="22" s="1"/>
  <c r="O352" i="22"/>
  <c r="K370" i="22"/>
  <c r="K402" i="22"/>
  <c r="K426" i="22"/>
  <c r="K450" i="22"/>
  <c r="K533" i="22"/>
  <c r="O564" i="22"/>
  <c r="K620" i="22"/>
  <c r="K632" i="22"/>
  <c r="P25" i="1"/>
  <c r="M15" i="1"/>
  <c r="P15" i="1" s="1"/>
  <c r="P31" i="1"/>
  <c r="M29" i="1"/>
  <c r="P19" i="2"/>
  <c r="P23" i="1"/>
  <c r="M13" i="1"/>
  <c r="P13" i="1" s="1"/>
  <c r="M11" i="1"/>
  <c r="P11" i="2"/>
  <c r="P24" i="2"/>
  <c r="M14" i="2"/>
  <c r="P14" i="2" s="1"/>
  <c r="N57" i="1"/>
  <c r="N22" i="2"/>
  <c r="P70" i="2"/>
  <c r="M70" i="1"/>
  <c r="I111" i="1"/>
  <c r="K111" i="1" s="1"/>
  <c r="K111" i="2"/>
  <c r="M120" i="2"/>
  <c r="M118" i="2" s="1"/>
  <c r="O148" i="2"/>
  <c r="L275" i="2"/>
  <c r="L276" i="1"/>
  <c r="L318" i="1"/>
  <c r="O318" i="1" s="1"/>
  <c r="O318" i="2"/>
  <c r="L438" i="1"/>
  <c r="O438" i="1" s="1"/>
  <c r="O438" i="2"/>
  <c r="K465" i="2"/>
  <c r="L581" i="1"/>
  <c r="O581" i="1" s="1"/>
  <c r="O581" i="2"/>
  <c r="I634" i="1"/>
  <c r="K634" i="2"/>
  <c r="P54" i="3"/>
  <c r="M53" i="3"/>
  <c r="O67" i="3"/>
  <c r="O119" i="3"/>
  <c r="O148" i="3"/>
  <c r="P330" i="3"/>
  <c r="P333" i="3"/>
  <c r="M333" i="1"/>
  <c r="L31" i="4"/>
  <c r="O382" i="4"/>
  <c r="P25" i="5"/>
  <c r="M15" i="5"/>
  <c r="P15" i="5" s="1"/>
  <c r="M53" i="5"/>
  <c r="L26" i="5"/>
  <c r="O61" i="5"/>
  <c r="O102" i="5"/>
  <c r="M102" i="5"/>
  <c r="P102" i="5" s="1"/>
  <c r="O403" i="5"/>
  <c r="L31" i="5"/>
  <c r="L640" i="5"/>
  <c r="O648" i="5"/>
  <c r="P98" i="6"/>
  <c r="M96" i="6"/>
  <c r="L277" i="1"/>
  <c r="L275" i="6"/>
  <c r="P330" i="6"/>
  <c r="L45" i="7"/>
  <c r="L23" i="7"/>
  <c r="I109" i="1"/>
  <c r="K109" i="2"/>
  <c r="O119" i="2"/>
  <c r="L119" i="1"/>
  <c r="O119" i="1" s="1"/>
  <c r="K215" i="2"/>
  <c r="I215" i="1"/>
  <c r="K264" i="2"/>
  <c r="K266" i="2"/>
  <c r="L436" i="1"/>
  <c r="O436" i="2"/>
  <c r="I580" i="1"/>
  <c r="K580" i="2"/>
  <c r="I632" i="1"/>
  <c r="K632" i="2"/>
  <c r="L26" i="3"/>
  <c r="O74" i="3"/>
  <c r="M74" i="3"/>
  <c r="M68" i="3" s="1"/>
  <c r="I304" i="1"/>
  <c r="K304" i="3"/>
  <c r="K626" i="3"/>
  <c r="K624" i="3"/>
  <c r="K622" i="3"/>
  <c r="K620" i="3"/>
  <c r="P70" i="4"/>
  <c r="M22" i="4"/>
  <c r="M68" i="4"/>
  <c r="O330" i="4"/>
  <c r="P333" i="4"/>
  <c r="M331" i="4"/>
  <c r="K369" i="4"/>
  <c r="I367" i="4"/>
  <c r="K367" i="4" s="1"/>
  <c r="M19" i="5"/>
  <c r="N15" i="5"/>
  <c r="N19" i="5"/>
  <c r="L34" i="5"/>
  <c r="O568" i="5"/>
  <c r="K619" i="5"/>
  <c r="K617" i="5"/>
  <c r="K615" i="5"/>
  <c r="K613" i="5"/>
  <c r="K611" i="5"/>
  <c r="K612" i="5"/>
  <c r="K614" i="5"/>
  <c r="K616" i="5"/>
  <c r="K618" i="5"/>
  <c r="M14" i="6"/>
  <c r="P14" i="6" s="1"/>
  <c r="P21" i="6"/>
  <c r="M11" i="6"/>
  <c r="M19" i="6"/>
  <c r="N55" i="6"/>
  <c r="N53" i="6" s="1"/>
  <c r="N22" i="6"/>
  <c r="N120" i="6"/>
  <c r="P144" i="6"/>
  <c r="N330" i="1"/>
  <c r="M19" i="1"/>
  <c r="P24" i="1"/>
  <c r="M14" i="1"/>
  <c r="P14" i="1" s="1"/>
  <c r="N19" i="2"/>
  <c r="M30" i="2"/>
  <c r="P30" i="2" s="1"/>
  <c r="M68" i="2"/>
  <c r="M66" i="2" s="1"/>
  <c r="N96" i="2"/>
  <c r="O126" i="2"/>
  <c r="L126" i="1"/>
  <c r="O126" i="1" s="1"/>
  <c r="P141" i="2"/>
  <c r="M141" i="1"/>
  <c r="P141" i="1" s="1"/>
  <c r="M140" i="2"/>
  <c r="M144" i="1"/>
  <c r="P144" i="2"/>
  <c r="M221" i="1"/>
  <c r="P221" i="1" s="1"/>
  <c r="P221" i="2"/>
  <c r="P291" i="2"/>
  <c r="M291" i="1"/>
  <c r="P291" i="1" s="1"/>
  <c r="P311" i="2"/>
  <c r="M310" i="2"/>
  <c r="P314" i="2"/>
  <c r="M314" i="1"/>
  <c r="I435" i="1"/>
  <c r="K435" i="2"/>
  <c r="O459" i="2"/>
  <c r="L34" i="2"/>
  <c r="K473" i="2"/>
  <c r="L536" i="1"/>
  <c r="O536" i="1" s="1"/>
  <c r="O536" i="2"/>
  <c r="I578" i="1"/>
  <c r="K578" i="1" s="1"/>
  <c r="K578" i="2"/>
  <c r="I630" i="1"/>
  <c r="K630" i="2"/>
  <c r="O25" i="3"/>
  <c r="L15" i="3"/>
  <c r="O15" i="3" s="1"/>
  <c r="L70" i="3"/>
  <c r="P141" i="3"/>
  <c r="M331" i="3"/>
  <c r="L34" i="3"/>
  <c r="O354" i="3"/>
  <c r="L33" i="3"/>
  <c r="O33" i="3" s="1"/>
  <c r="O567" i="3"/>
  <c r="L23" i="4"/>
  <c r="P330" i="4"/>
  <c r="L45" i="5"/>
  <c r="L23" i="5"/>
  <c r="O54" i="5"/>
  <c r="O95" i="5"/>
  <c r="O141" i="5"/>
  <c r="O54" i="6"/>
  <c r="N142" i="6"/>
  <c r="P142" i="6" s="1"/>
  <c r="O671" i="6"/>
  <c r="L640" i="6"/>
  <c r="O95" i="7"/>
  <c r="P122" i="7"/>
  <c r="M120" i="7"/>
  <c r="L640" i="8"/>
  <c r="O648" i="8"/>
  <c r="N68" i="9"/>
  <c r="P68" i="9" s="1"/>
  <c r="N22" i="9"/>
  <c r="N70" i="1"/>
  <c r="P23" i="2"/>
  <c r="M13" i="2"/>
  <c r="P13" i="2" s="1"/>
  <c r="P25" i="2"/>
  <c r="M15" i="2"/>
  <c r="P15" i="2" s="1"/>
  <c r="O67" i="2"/>
  <c r="O102" i="2"/>
  <c r="L102" i="1"/>
  <c r="K176" i="2"/>
  <c r="N221" i="1"/>
  <c r="N291" i="1"/>
  <c r="I373" i="1"/>
  <c r="K373" i="1" s="1"/>
  <c r="K373" i="2"/>
  <c r="L32" i="2"/>
  <c r="O457" i="2"/>
  <c r="L534" i="1"/>
  <c r="O534" i="1" s="1"/>
  <c r="O534" i="2"/>
  <c r="I576" i="1"/>
  <c r="K576" i="1" s="1"/>
  <c r="K576" i="2"/>
  <c r="K618" i="2"/>
  <c r="K616" i="2"/>
  <c r="K614" i="2"/>
  <c r="K612" i="2"/>
  <c r="I611" i="1"/>
  <c r="K619" i="2"/>
  <c r="K617" i="2"/>
  <c r="K615" i="2"/>
  <c r="K613" i="2"/>
  <c r="K611" i="2"/>
  <c r="I628" i="1"/>
  <c r="K628" i="2"/>
  <c r="J657" i="1"/>
  <c r="J651" i="2"/>
  <c r="I665" i="1"/>
  <c r="K665" i="2"/>
  <c r="L19" i="3"/>
  <c r="N19" i="3"/>
  <c r="P25" i="3"/>
  <c r="M15" i="3"/>
  <c r="P15" i="3" s="1"/>
  <c r="K176" i="3"/>
  <c r="P224" i="3"/>
  <c r="N331" i="3"/>
  <c r="K340" i="3"/>
  <c r="O406" i="3"/>
  <c r="K449" i="3"/>
  <c r="K482" i="3"/>
  <c r="K625" i="3"/>
  <c r="P23" i="4"/>
  <c r="M13" i="4"/>
  <c r="P13" i="4" s="1"/>
  <c r="N15" i="4"/>
  <c r="N19" i="4"/>
  <c r="P98" i="4"/>
  <c r="P294" i="5"/>
  <c r="M292" i="5"/>
  <c r="L24" i="6"/>
  <c r="L70" i="6"/>
  <c r="P141" i="6"/>
  <c r="M140" i="6"/>
  <c r="O352" i="6"/>
  <c r="L32" i="6"/>
  <c r="N19" i="7"/>
  <c r="P31" i="2"/>
  <c r="M29" i="2"/>
  <c r="M43" i="2"/>
  <c r="L74" i="1"/>
  <c r="O74" i="2"/>
  <c r="P102" i="2"/>
  <c r="I328" i="1"/>
  <c r="K328" i="2"/>
  <c r="I371" i="1"/>
  <c r="K371" i="1" s="1"/>
  <c r="K371" i="2"/>
  <c r="I397" i="1"/>
  <c r="K397" i="2"/>
  <c r="I533" i="1"/>
  <c r="K533" i="2"/>
  <c r="I573" i="1"/>
  <c r="K573" i="2"/>
  <c r="N644" i="2"/>
  <c r="N640" i="2" s="1"/>
  <c r="N638" i="2" s="1"/>
  <c r="N636" i="2" s="1"/>
  <c r="N648" i="1"/>
  <c r="P19" i="3"/>
  <c r="P29" i="3"/>
  <c r="P32" i="3"/>
  <c r="M30" i="3"/>
  <c r="P30" i="3" s="1"/>
  <c r="M41" i="3"/>
  <c r="M22" i="3"/>
  <c r="M142" i="3"/>
  <c r="L337" i="1"/>
  <c r="O337" i="3"/>
  <c r="N32" i="3"/>
  <c r="N30" i="3" s="1"/>
  <c r="K623" i="3"/>
  <c r="O459" i="4"/>
  <c r="L34" i="4"/>
  <c r="N31" i="5"/>
  <c r="O25" i="6"/>
  <c r="L15" i="6"/>
  <c r="O15" i="6" s="1"/>
  <c r="L19" i="6"/>
  <c r="O126" i="6"/>
  <c r="L26" i="6"/>
  <c r="K132" i="6"/>
  <c r="I132" i="1"/>
  <c r="N141" i="1"/>
  <c r="P32" i="7"/>
  <c r="M30" i="7"/>
  <c r="P30" i="7" s="1"/>
  <c r="L42" i="1"/>
  <c r="L21" i="1"/>
  <c r="L24" i="2"/>
  <c r="P54" i="2"/>
  <c r="M53" i="2"/>
  <c r="M57" i="1"/>
  <c r="P57" i="2"/>
  <c r="M22" i="2"/>
  <c r="L70" i="2"/>
  <c r="P95" i="2"/>
  <c r="P98" i="2"/>
  <c r="M98" i="1"/>
  <c r="I113" i="1"/>
  <c r="K113" i="2"/>
  <c r="K117" i="2"/>
  <c r="N222" i="2"/>
  <c r="N312" i="2"/>
  <c r="P312" i="2" s="1"/>
  <c r="K341" i="2"/>
  <c r="K343" i="2"/>
  <c r="K345" i="2"/>
  <c r="O347" i="2"/>
  <c r="I369" i="1"/>
  <c r="K369" i="2"/>
  <c r="K450" i="2"/>
  <c r="K499" i="2"/>
  <c r="O564" i="2"/>
  <c r="O566" i="2"/>
  <c r="O568" i="2"/>
  <c r="L583" i="1"/>
  <c r="O583" i="1" s="1"/>
  <c r="O583" i="2"/>
  <c r="J671" i="2"/>
  <c r="J674" i="1"/>
  <c r="N22" i="3"/>
  <c r="L23" i="3"/>
  <c r="I93" i="1"/>
  <c r="K93" i="3"/>
  <c r="K164" i="3"/>
  <c r="N222" i="3"/>
  <c r="K402" i="3"/>
  <c r="K466" i="3"/>
  <c r="K621" i="3"/>
  <c r="P95" i="4"/>
  <c r="P122" i="4"/>
  <c r="M120" i="4"/>
  <c r="O384" i="4"/>
  <c r="L33" i="4"/>
  <c r="O33" i="4" s="1"/>
  <c r="L32" i="4"/>
  <c r="O457" i="4"/>
  <c r="L98" i="5"/>
  <c r="L24" i="5"/>
  <c r="K117" i="5"/>
  <c r="P291" i="5"/>
  <c r="P29" i="6"/>
  <c r="M28" i="6"/>
  <c r="P28" i="6" s="1"/>
  <c r="K200" i="6"/>
  <c r="K249" i="6"/>
  <c r="I249" i="1"/>
  <c r="L26" i="7"/>
  <c r="O61" i="7"/>
  <c r="P224" i="2"/>
  <c r="P294" i="2"/>
  <c r="O298" i="2"/>
  <c r="K621" i="2"/>
  <c r="K623" i="2"/>
  <c r="L640" i="2"/>
  <c r="M11" i="3"/>
  <c r="P57" i="3"/>
  <c r="L24" i="4"/>
  <c r="P54" i="4"/>
  <c r="M53" i="4"/>
  <c r="P57" i="4"/>
  <c r="N26" i="4"/>
  <c r="N16" i="4" s="1"/>
  <c r="K109" i="4"/>
  <c r="O148" i="4"/>
  <c r="M220" i="4"/>
  <c r="K618" i="4"/>
  <c r="K616" i="4"/>
  <c r="K614" i="4"/>
  <c r="K612" i="4"/>
  <c r="K619" i="4"/>
  <c r="K617" i="4"/>
  <c r="K615" i="4"/>
  <c r="K613" i="4"/>
  <c r="K611" i="4"/>
  <c r="K630" i="4"/>
  <c r="M43" i="5"/>
  <c r="P57" i="5"/>
  <c r="M22" i="5"/>
  <c r="M140" i="5"/>
  <c r="K345" i="5"/>
  <c r="O401" i="5"/>
  <c r="L32" i="5"/>
  <c r="O566" i="5"/>
  <c r="N19" i="6"/>
  <c r="P119" i="6"/>
  <c r="O597" i="6"/>
  <c r="P11" i="7"/>
  <c r="P24" i="7"/>
  <c r="M14" i="7"/>
  <c r="P14" i="7" s="1"/>
  <c r="P333" i="7"/>
  <c r="O439" i="7"/>
  <c r="L34" i="7"/>
  <c r="P29" i="8"/>
  <c r="M28" i="8"/>
  <c r="P28" i="8" s="1"/>
  <c r="O568" i="8"/>
  <c r="L34" i="8"/>
  <c r="L353" i="1"/>
  <c r="N385" i="1"/>
  <c r="L26" i="2"/>
  <c r="P24" i="4"/>
  <c r="M14" i="4"/>
  <c r="P14" i="4" s="1"/>
  <c r="P31" i="4"/>
  <c r="M29" i="4"/>
  <c r="N22" i="4"/>
  <c r="O119" i="4"/>
  <c r="N33" i="4"/>
  <c r="N13" i="4" s="1"/>
  <c r="O671" i="4"/>
  <c r="L640" i="4"/>
  <c r="P24" i="5"/>
  <c r="M14" i="5"/>
  <c r="P14" i="5" s="1"/>
  <c r="P31" i="5"/>
  <c r="M29" i="5"/>
  <c r="N22" i="5"/>
  <c r="N55" i="5"/>
  <c r="N53" i="5" s="1"/>
  <c r="O228" i="5"/>
  <c r="O330" i="5"/>
  <c r="O337" i="5"/>
  <c r="M337" i="5"/>
  <c r="P42" i="6"/>
  <c r="M41" i="6"/>
  <c r="N26" i="6"/>
  <c r="N16" i="6" s="1"/>
  <c r="O95" i="6"/>
  <c r="N331" i="6"/>
  <c r="O382" i="6"/>
  <c r="L31" i="6"/>
  <c r="N33" i="6"/>
  <c r="N13" i="6" s="1"/>
  <c r="O54" i="7"/>
  <c r="P57" i="7"/>
  <c r="M22" i="7"/>
  <c r="L32" i="8"/>
  <c r="O566" i="8"/>
  <c r="L640" i="3"/>
  <c r="K650" i="3"/>
  <c r="O67" i="4"/>
  <c r="O102" i="4"/>
  <c r="P141" i="4"/>
  <c r="O568" i="4"/>
  <c r="K628" i="4"/>
  <c r="K634" i="4"/>
  <c r="M11" i="5"/>
  <c r="P32" i="5"/>
  <c r="M30" i="5"/>
  <c r="P30" i="5" s="1"/>
  <c r="O298" i="5"/>
  <c r="L33" i="5"/>
  <c r="O33" i="5" s="1"/>
  <c r="O353" i="5"/>
  <c r="I367" i="5"/>
  <c r="K367" i="5" s="1"/>
  <c r="K377" i="5"/>
  <c r="O385" i="5"/>
  <c r="M53" i="6"/>
  <c r="M120" i="6"/>
  <c r="P120" i="6" s="1"/>
  <c r="O380" i="6"/>
  <c r="N31" i="6"/>
  <c r="N29" i="6" s="1"/>
  <c r="K432" i="6"/>
  <c r="O455" i="6"/>
  <c r="N32" i="6"/>
  <c r="N30" i="6" s="1"/>
  <c r="P31" i="7"/>
  <c r="M29" i="7"/>
  <c r="N22" i="7"/>
  <c r="N55" i="7"/>
  <c r="N53" i="7" s="1"/>
  <c r="K176" i="7"/>
  <c r="P330" i="7"/>
  <c r="M329" i="7"/>
  <c r="M11" i="4"/>
  <c r="O74" i="4"/>
  <c r="L26" i="4"/>
  <c r="M102" i="4"/>
  <c r="P102" i="4" s="1"/>
  <c r="K176" i="4"/>
  <c r="P224" i="4"/>
  <c r="O337" i="4"/>
  <c r="P49" i="5"/>
  <c r="P221" i="5"/>
  <c r="N250" i="5"/>
  <c r="K375" i="5"/>
  <c r="K450" i="5"/>
  <c r="K473" i="5"/>
  <c r="K497" i="5"/>
  <c r="M22" i="6"/>
  <c r="P57" i="6"/>
  <c r="K81" i="6"/>
  <c r="L34" i="6"/>
  <c r="O354" i="6"/>
  <c r="K420" i="6"/>
  <c r="K430" i="6"/>
  <c r="P25" i="7"/>
  <c r="M15" i="7"/>
  <c r="P15" i="7" s="1"/>
  <c r="M96" i="7"/>
  <c r="P96" i="7" s="1"/>
  <c r="P141" i="7"/>
  <c r="M140" i="7"/>
  <c r="L24" i="8"/>
  <c r="L45" i="8"/>
  <c r="P222" i="8"/>
  <c r="M220" i="8"/>
  <c r="P220" i="8" s="1"/>
  <c r="O291" i="8"/>
  <c r="P294" i="8"/>
  <c r="M292" i="8"/>
  <c r="P292" i="8" s="1"/>
  <c r="O251" i="9"/>
  <c r="L292" i="9"/>
  <c r="O292" i="9" s="1"/>
  <c r="K621" i="4"/>
  <c r="K623" i="4"/>
  <c r="K625" i="4"/>
  <c r="K625" i="7"/>
  <c r="K623" i="7"/>
  <c r="K621" i="7"/>
  <c r="K626" i="7"/>
  <c r="K624" i="7"/>
  <c r="K622" i="7"/>
  <c r="K620" i="7"/>
  <c r="P23" i="8"/>
  <c r="M13" i="8"/>
  <c r="P13" i="8" s="1"/>
  <c r="L23" i="8"/>
  <c r="L57" i="8"/>
  <c r="O353" i="8"/>
  <c r="L33" i="8"/>
  <c r="O33" i="8" s="1"/>
  <c r="N34" i="8"/>
  <c r="N14" i="8" s="1"/>
  <c r="O385" i="8"/>
  <c r="L34" i="9"/>
  <c r="O439" i="9"/>
  <c r="O311" i="10"/>
  <c r="L333" i="10"/>
  <c r="L23" i="10"/>
  <c r="M49" i="4"/>
  <c r="M43" i="4" s="1"/>
  <c r="K621" i="5"/>
  <c r="K623" i="5"/>
  <c r="M53" i="7"/>
  <c r="K401" i="7"/>
  <c r="O406" i="7"/>
  <c r="O221" i="8"/>
  <c r="O228" i="8"/>
  <c r="L26" i="8"/>
  <c r="N26" i="8"/>
  <c r="N16" i="8" s="1"/>
  <c r="N32" i="8"/>
  <c r="N30" i="8" s="1"/>
  <c r="O383" i="8"/>
  <c r="O102" i="9"/>
  <c r="N331" i="9"/>
  <c r="N329" i="9" s="1"/>
  <c r="O337" i="9"/>
  <c r="O437" i="9"/>
  <c r="L32" i="9"/>
  <c r="P272" i="10"/>
  <c r="M271" i="10"/>
  <c r="O95" i="11"/>
  <c r="K612" i="6"/>
  <c r="K614" i="6"/>
  <c r="K616" i="6"/>
  <c r="K620" i="6"/>
  <c r="K622" i="6"/>
  <c r="K624" i="6"/>
  <c r="K449" i="7"/>
  <c r="K564" i="7"/>
  <c r="P224" i="8"/>
  <c r="M22" i="8"/>
  <c r="P251" i="8"/>
  <c r="P311" i="8"/>
  <c r="L31" i="8"/>
  <c r="O351" i="8"/>
  <c r="O42" i="9"/>
  <c r="N43" i="9"/>
  <c r="N41" i="9" s="1"/>
  <c r="M22" i="9"/>
  <c r="P98" i="9"/>
  <c r="O403" i="9"/>
  <c r="L31" i="9"/>
  <c r="P21" i="11"/>
  <c r="M11" i="11"/>
  <c r="M19" i="11"/>
  <c r="K620" i="4"/>
  <c r="K622" i="4"/>
  <c r="K624" i="4"/>
  <c r="M13" i="7"/>
  <c r="P13" i="7" s="1"/>
  <c r="O119" i="7"/>
  <c r="O404" i="7"/>
  <c r="K547" i="7"/>
  <c r="L640" i="7"/>
  <c r="O298" i="8"/>
  <c r="P21" i="9"/>
  <c r="M11" i="9"/>
  <c r="M19" i="9"/>
  <c r="O221" i="9"/>
  <c r="O221" i="7"/>
  <c r="P29" i="10"/>
  <c r="M28" i="10"/>
  <c r="P28" i="10" s="1"/>
  <c r="P42" i="11"/>
  <c r="M41" i="11"/>
  <c r="P144" i="11"/>
  <c r="M142" i="11"/>
  <c r="K612" i="7"/>
  <c r="K614" i="7"/>
  <c r="K616" i="7"/>
  <c r="K618" i="7"/>
  <c r="M337" i="8"/>
  <c r="M41" i="9"/>
  <c r="K216" i="9"/>
  <c r="M292" i="9"/>
  <c r="P337" i="9"/>
  <c r="O67" i="10"/>
  <c r="L32" i="10"/>
  <c r="O383" i="10"/>
  <c r="P119" i="11"/>
  <c r="K611" i="8"/>
  <c r="K613" i="8"/>
  <c r="K615" i="8"/>
  <c r="K617" i="8"/>
  <c r="K621" i="8"/>
  <c r="K623" i="8"/>
  <c r="N19" i="9"/>
  <c r="L23" i="9"/>
  <c r="K138" i="9"/>
  <c r="K213" i="9"/>
  <c r="P251" i="9"/>
  <c r="K429" i="9"/>
  <c r="L314" i="10"/>
  <c r="L98" i="11"/>
  <c r="L292" i="12"/>
  <c r="P54" i="13"/>
  <c r="M53" i="13"/>
  <c r="O648" i="7"/>
  <c r="M19" i="8"/>
  <c r="L15" i="9"/>
  <c r="O15" i="9" s="1"/>
  <c r="M16" i="9"/>
  <c r="N310" i="9"/>
  <c r="L55" i="10"/>
  <c r="N43" i="11"/>
  <c r="P43" i="11" s="1"/>
  <c r="N22" i="11"/>
  <c r="P141" i="11"/>
  <c r="O404" i="11"/>
  <c r="L32" i="11"/>
  <c r="P119" i="13"/>
  <c r="K611" i="7"/>
  <c r="K613" i="7"/>
  <c r="K615" i="7"/>
  <c r="K617" i="7"/>
  <c r="M15" i="9"/>
  <c r="P15" i="9" s="1"/>
  <c r="P70" i="9"/>
  <c r="K199" i="9"/>
  <c r="M273" i="9"/>
  <c r="K425" i="9"/>
  <c r="K626" i="9"/>
  <c r="K624" i="9"/>
  <c r="K622" i="9"/>
  <c r="K620" i="9"/>
  <c r="K621" i="9"/>
  <c r="K623" i="9"/>
  <c r="K625" i="9"/>
  <c r="O19" i="11"/>
  <c r="N31" i="11"/>
  <c r="N29" i="11" s="1"/>
  <c r="L23" i="12"/>
  <c r="L57" i="12"/>
  <c r="L24" i="14"/>
  <c r="L45" i="14"/>
  <c r="K631" i="9"/>
  <c r="M53" i="10"/>
  <c r="P67" i="10"/>
  <c r="M13" i="11"/>
  <c r="P13" i="11" s="1"/>
  <c r="N19" i="11"/>
  <c r="O25" i="11"/>
  <c r="L15" i="11"/>
  <c r="O15" i="11" s="1"/>
  <c r="L24" i="11"/>
  <c r="K619" i="11"/>
  <c r="K617" i="11"/>
  <c r="K616" i="11"/>
  <c r="K614" i="11"/>
  <c r="K612" i="11"/>
  <c r="K618" i="11"/>
  <c r="K615" i="11"/>
  <c r="O49" i="12"/>
  <c r="L26" i="12"/>
  <c r="P275" i="13"/>
  <c r="M273" i="13"/>
  <c r="P273" i="13" s="1"/>
  <c r="K626" i="13"/>
  <c r="K624" i="13"/>
  <c r="K622" i="13"/>
  <c r="K620" i="13"/>
  <c r="K623" i="13"/>
  <c r="K625" i="13"/>
  <c r="P24" i="14"/>
  <c r="M14" i="14"/>
  <c r="P14" i="14" s="1"/>
  <c r="O272" i="14"/>
  <c r="O537" i="9"/>
  <c r="K629" i="9"/>
  <c r="O21" i="10"/>
  <c r="L19" i="10"/>
  <c r="L24" i="10"/>
  <c r="P70" i="10"/>
  <c r="K450" i="10"/>
  <c r="K619" i="10"/>
  <c r="K617" i="10"/>
  <c r="K615" i="10"/>
  <c r="K613" i="10"/>
  <c r="K611" i="10"/>
  <c r="O649" i="10"/>
  <c r="O668" i="10"/>
  <c r="M22" i="11"/>
  <c r="M28" i="11"/>
  <c r="P28" i="11" s="1"/>
  <c r="L23" i="11"/>
  <c r="K200" i="11"/>
  <c r="O337" i="11"/>
  <c r="K430" i="11"/>
  <c r="K613" i="11"/>
  <c r="P23" i="12"/>
  <c r="M13" i="12"/>
  <c r="P13" i="12" s="1"/>
  <c r="P275" i="12"/>
  <c r="M273" i="12"/>
  <c r="P273" i="12" s="1"/>
  <c r="K377" i="12"/>
  <c r="N19" i="13"/>
  <c r="P32" i="13"/>
  <c r="M30" i="13"/>
  <c r="P30" i="13" s="1"/>
  <c r="O102" i="13"/>
  <c r="N120" i="13"/>
  <c r="N118" i="13" s="1"/>
  <c r="O141" i="22"/>
  <c r="P23" i="10"/>
  <c r="M13" i="10"/>
  <c r="P13" i="10" s="1"/>
  <c r="O49" i="10"/>
  <c r="M49" i="10"/>
  <c r="M43" i="10" s="1"/>
  <c r="L26" i="10"/>
  <c r="N22" i="10"/>
  <c r="N26" i="10"/>
  <c r="N16" i="10" s="1"/>
  <c r="L640" i="10"/>
  <c r="O648" i="10"/>
  <c r="O54" i="11"/>
  <c r="P45" i="12"/>
  <c r="M43" i="12"/>
  <c r="M41" i="12" s="1"/>
  <c r="O251" i="12"/>
  <c r="P254" i="12"/>
  <c r="M252" i="12"/>
  <c r="N22" i="12"/>
  <c r="N273" i="12"/>
  <c r="K618" i="12"/>
  <c r="K616" i="12"/>
  <c r="K614" i="12"/>
  <c r="K612" i="12"/>
  <c r="K619" i="12"/>
  <c r="K617" i="12"/>
  <c r="K615" i="12"/>
  <c r="K613" i="12"/>
  <c r="K611" i="12"/>
  <c r="O533" i="9"/>
  <c r="M68" i="10"/>
  <c r="M96" i="10"/>
  <c r="O102" i="10"/>
  <c r="O353" i="10"/>
  <c r="L33" i="10"/>
  <c r="O33" i="10" s="1"/>
  <c r="I367" i="10"/>
  <c r="K367" i="10" s="1"/>
  <c r="O566" i="10"/>
  <c r="O661" i="10"/>
  <c r="M53" i="11"/>
  <c r="P57" i="11"/>
  <c r="K426" i="11"/>
  <c r="O599" i="11"/>
  <c r="K625" i="11"/>
  <c r="K623" i="11"/>
  <c r="K621" i="11"/>
  <c r="K620" i="11"/>
  <c r="K622" i="11"/>
  <c r="O21" i="12"/>
  <c r="L19" i="12"/>
  <c r="K108" i="12"/>
  <c r="O272" i="12"/>
  <c r="O25" i="13"/>
  <c r="L15" i="13"/>
  <c r="O15" i="13" s="1"/>
  <c r="N22" i="13"/>
  <c r="N55" i="13"/>
  <c r="P55" i="13" s="1"/>
  <c r="L70" i="13"/>
  <c r="L24" i="13"/>
  <c r="N331" i="13"/>
  <c r="N329" i="13" s="1"/>
  <c r="O337" i="13"/>
  <c r="P31" i="14"/>
  <c r="M29" i="14"/>
  <c r="M11" i="14"/>
  <c r="O54" i="14"/>
  <c r="K635" i="9"/>
  <c r="O665" i="9"/>
  <c r="P24" i="10"/>
  <c r="M14" i="10"/>
  <c r="P14" i="10" s="1"/>
  <c r="P45" i="10"/>
  <c r="O251" i="10"/>
  <c r="L31" i="10"/>
  <c r="L11" i="10" s="1"/>
  <c r="O351" i="10"/>
  <c r="K375" i="10"/>
  <c r="O401" i="10"/>
  <c r="O564" i="10"/>
  <c r="O651" i="10"/>
  <c r="O21" i="11"/>
  <c r="P45" i="11"/>
  <c r="N26" i="11"/>
  <c r="N16" i="11" s="1"/>
  <c r="K173" i="11"/>
  <c r="N33" i="11"/>
  <c r="N13" i="11" s="1"/>
  <c r="O382" i="11"/>
  <c r="L31" i="11"/>
  <c r="L11" i="11" s="1"/>
  <c r="K424" i="11"/>
  <c r="O459" i="11"/>
  <c r="O597" i="11"/>
  <c r="P272" i="12"/>
  <c r="O553" i="12"/>
  <c r="L32" i="12"/>
  <c r="K665" i="12"/>
  <c r="P19" i="13"/>
  <c r="P25" i="13"/>
  <c r="M15" i="13"/>
  <c r="P15" i="13" s="1"/>
  <c r="O67" i="13"/>
  <c r="L34" i="13"/>
  <c r="O354" i="13"/>
  <c r="N22" i="14"/>
  <c r="N55" i="14"/>
  <c r="N53" i="14" s="1"/>
  <c r="O353" i="14"/>
  <c r="L33" i="14"/>
  <c r="O33" i="14" s="1"/>
  <c r="O42" i="15"/>
  <c r="P57" i="15"/>
  <c r="M55" i="15"/>
  <c r="M53" i="15" s="1"/>
  <c r="M22" i="15"/>
  <c r="L33" i="13"/>
  <c r="O33" i="13" s="1"/>
  <c r="O567" i="13"/>
  <c r="K668" i="13"/>
  <c r="M26" i="14"/>
  <c r="M43" i="14"/>
  <c r="P54" i="14"/>
  <c r="M53" i="14"/>
  <c r="P57" i="14"/>
  <c r="P70" i="14"/>
  <c r="M22" i="14"/>
  <c r="L31" i="14"/>
  <c r="O351" i="14"/>
  <c r="P144" i="22"/>
  <c r="M142" i="22"/>
  <c r="M22" i="22"/>
  <c r="P291" i="22"/>
  <c r="K369" i="22"/>
  <c r="I367" i="22"/>
  <c r="K367" i="22" s="1"/>
  <c r="O385" i="14"/>
  <c r="L34" i="14"/>
  <c r="N644" i="14"/>
  <c r="N640" i="14" s="1"/>
  <c r="N638" i="14" s="1"/>
  <c r="N636" i="14" s="1"/>
  <c r="L640" i="14"/>
  <c r="O648" i="14"/>
  <c r="P30" i="15"/>
  <c r="M28" i="15"/>
  <c r="P28" i="15" s="1"/>
  <c r="O25" i="16"/>
  <c r="L15" i="16"/>
  <c r="O15" i="16" s="1"/>
  <c r="L19" i="16"/>
  <c r="P221" i="16"/>
  <c r="M220" i="16"/>
  <c r="K573" i="16"/>
  <c r="O353" i="12"/>
  <c r="L33" i="12"/>
  <c r="O33" i="12" s="1"/>
  <c r="M16" i="13"/>
  <c r="M66" i="13"/>
  <c r="L26" i="13"/>
  <c r="O74" i="13"/>
  <c r="P95" i="13"/>
  <c r="L23" i="14"/>
  <c r="M68" i="14"/>
  <c r="O102" i="14"/>
  <c r="N34" i="14"/>
  <c r="N14" i="14" s="1"/>
  <c r="N22" i="15"/>
  <c r="P122" i="15"/>
  <c r="M120" i="15"/>
  <c r="P120" i="15" s="1"/>
  <c r="P291" i="15"/>
  <c r="O337" i="15"/>
  <c r="M337" i="15"/>
  <c r="P141" i="16"/>
  <c r="M140" i="16"/>
  <c r="P221" i="17"/>
  <c r="M220" i="17"/>
  <c r="K621" i="10"/>
  <c r="K623" i="10"/>
  <c r="L640" i="11"/>
  <c r="P29" i="12"/>
  <c r="L34" i="12"/>
  <c r="O311" i="12"/>
  <c r="N33" i="12"/>
  <c r="N13" i="12" s="1"/>
  <c r="L640" i="12"/>
  <c r="L31" i="13"/>
  <c r="L224" i="13"/>
  <c r="L23" i="13"/>
  <c r="P23" i="14"/>
  <c r="M13" i="14"/>
  <c r="P13" i="14" s="1"/>
  <c r="P49" i="14"/>
  <c r="O67" i="14"/>
  <c r="M273" i="14"/>
  <c r="P273" i="14" s="1"/>
  <c r="L32" i="14"/>
  <c r="O383" i="14"/>
  <c r="M41" i="15"/>
  <c r="O49" i="15"/>
  <c r="L26" i="15"/>
  <c r="O555" i="15"/>
  <c r="L34" i="15"/>
  <c r="P70" i="16"/>
  <c r="M22" i="16"/>
  <c r="M68" i="16"/>
  <c r="P330" i="16"/>
  <c r="L24" i="12"/>
  <c r="K110" i="12"/>
  <c r="K149" i="12"/>
  <c r="K204" i="12"/>
  <c r="K345" i="12"/>
  <c r="L31" i="12"/>
  <c r="O351" i="12"/>
  <c r="N32" i="12"/>
  <c r="N30" i="12" s="1"/>
  <c r="N34" i="12"/>
  <c r="N14" i="12" s="1"/>
  <c r="K450" i="12"/>
  <c r="K473" i="12"/>
  <c r="K497" i="12"/>
  <c r="K632" i="12"/>
  <c r="N644" i="12"/>
  <c r="N640" i="12" s="1"/>
  <c r="N638" i="12" s="1"/>
  <c r="N636" i="12" s="1"/>
  <c r="M28" i="13"/>
  <c r="P28" i="13" s="1"/>
  <c r="P70" i="13"/>
  <c r="M22" i="13"/>
  <c r="M96" i="13"/>
  <c r="P96" i="13" s="1"/>
  <c r="O272" i="13"/>
  <c r="M331" i="13"/>
  <c r="P337" i="13"/>
  <c r="N32" i="13"/>
  <c r="N30" i="13" s="1"/>
  <c r="K564" i="13"/>
  <c r="N19" i="14"/>
  <c r="O74" i="14"/>
  <c r="L26" i="14"/>
  <c r="P95" i="14"/>
  <c r="K421" i="14"/>
  <c r="K427" i="14"/>
  <c r="P122" i="16"/>
  <c r="M120" i="16"/>
  <c r="K621" i="12"/>
  <c r="K623" i="12"/>
  <c r="K625" i="12"/>
  <c r="L23" i="15"/>
  <c r="L70" i="15"/>
  <c r="O148" i="15"/>
  <c r="K618" i="15"/>
  <c r="K616" i="15"/>
  <c r="K614" i="15"/>
  <c r="K612" i="15"/>
  <c r="K619" i="15"/>
  <c r="K617" i="15"/>
  <c r="K615" i="15"/>
  <c r="K613" i="15"/>
  <c r="K611" i="15"/>
  <c r="N19" i="16"/>
  <c r="P25" i="16"/>
  <c r="M15" i="16"/>
  <c r="P15" i="16" s="1"/>
  <c r="P32" i="16"/>
  <c r="M30" i="16"/>
  <c r="P30" i="16" s="1"/>
  <c r="N22" i="16"/>
  <c r="N220" i="16"/>
  <c r="L34" i="16"/>
  <c r="O459" i="16"/>
  <c r="N19" i="17"/>
  <c r="O24" i="17"/>
  <c r="P141" i="17"/>
  <c r="M140" i="17"/>
  <c r="M220" i="18"/>
  <c r="K612" i="13"/>
  <c r="K614" i="13"/>
  <c r="K616" i="13"/>
  <c r="O21" i="15"/>
  <c r="L19" i="15"/>
  <c r="N43" i="15"/>
  <c r="P43" i="15" s="1"/>
  <c r="O119" i="15"/>
  <c r="P333" i="15"/>
  <c r="O382" i="15"/>
  <c r="L31" i="15"/>
  <c r="L11" i="15" s="1"/>
  <c r="K573" i="15"/>
  <c r="M19" i="16"/>
  <c r="P54" i="16"/>
  <c r="M53" i="16"/>
  <c r="O102" i="16"/>
  <c r="L26" i="17"/>
  <c r="O74" i="17"/>
  <c r="M74" i="17"/>
  <c r="L23" i="17"/>
  <c r="L98" i="17"/>
  <c r="P45" i="18"/>
  <c r="M43" i="18"/>
  <c r="M22" i="18"/>
  <c r="O648" i="11"/>
  <c r="M19" i="12"/>
  <c r="L19" i="14"/>
  <c r="K611" i="14"/>
  <c r="K613" i="14"/>
  <c r="K615" i="14"/>
  <c r="K617" i="14"/>
  <c r="P21" i="15"/>
  <c r="M11" i="15"/>
  <c r="M19" i="15"/>
  <c r="P141" i="15"/>
  <c r="P330" i="15"/>
  <c r="N31" i="15"/>
  <c r="N33" i="15"/>
  <c r="N13" i="15" s="1"/>
  <c r="I367" i="15"/>
  <c r="K367" i="15" s="1"/>
  <c r="O457" i="15"/>
  <c r="L32" i="15"/>
  <c r="O671" i="15"/>
  <c r="L640" i="15"/>
  <c r="O67" i="16"/>
  <c r="O119" i="16"/>
  <c r="L33" i="16"/>
  <c r="O33" i="16" s="1"/>
  <c r="O384" i="16"/>
  <c r="P25" i="17"/>
  <c r="M15" i="17"/>
  <c r="P15" i="17" s="1"/>
  <c r="M19" i="17"/>
  <c r="O70" i="17"/>
  <c r="L68" i="17"/>
  <c r="L33" i="17"/>
  <c r="O33" i="17" s="1"/>
  <c r="O554" i="17"/>
  <c r="N43" i="18"/>
  <c r="N41" i="18" s="1"/>
  <c r="N22" i="18"/>
  <c r="M220" i="19"/>
  <c r="P294" i="19"/>
  <c r="M292" i="19"/>
  <c r="M22" i="19"/>
  <c r="N312" i="19"/>
  <c r="N310" i="19" s="1"/>
  <c r="N22" i="19"/>
  <c r="M11" i="12"/>
  <c r="K620" i="12"/>
  <c r="K622" i="12"/>
  <c r="K624" i="12"/>
  <c r="K625" i="14"/>
  <c r="K623" i="14"/>
  <c r="K626" i="14"/>
  <c r="L57" i="15"/>
  <c r="P224" i="15"/>
  <c r="K397" i="15"/>
  <c r="L26" i="16"/>
  <c r="O74" i="16"/>
  <c r="P95" i="16"/>
  <c r="P98" i="16"/>
  <c r="P144" i="16"/>
  <c r="L275" i="16"/>
  <c r="L23" i="16"/>
  <c r="P333" i="16"/>
  <c r="K533" i="16"/>
  <c r="P32" i="17"/>
  <c r="M30" i="17"/>
  <c r="P30" i="17" s="1"/>
  <c r="O67" i="17"/>
  <c r="P122" i="17"/>
  <c r="M120" i="17"/>
  <c r="M118" i="17" s="1"/>
  <c r="O533" i="17"/>
  <c r="O552" i="17"/>
  <c r="L31" i="17"/>
  <c r="O568" i="18"/>
  <c r="L34" i="18"/>
  <c r="K621" i="15"/>
  <c r="K623" i="15"/>
  <c r="K625" i="15"/>
  <c r="N644" i="16"/>
  <c r="N640" i="16" s="1"/>
  <c r="N638" i="16" s="1"/>
  <c r="N636" i="16" s="1"/>
  <c r="P70" i="17"/>
  <c r="M22" i="17"/>
  <c r="K464" i="17"/>
  <c r="O537" i="17"/>
  <c r="O665" i="17"/>
  <c r="J671" i="17"/>
  <c r="K671" i="17" s="1"/>
  <c r="M9" i="18"/>
  <c r="O42" i="18"/>
  <c r="P57" i="19"/>
  <c r="M55" i="19"/>
  <c r="O221" i="19"/>
  <c r="L24" i="20"/>
  <c r="L98" i="20"/>
  <c r="K618" i="16"/>
  <c r="K616" i="16"/>
  <c r="K614" i="16"/>
  <c r="K612" i="16"/>
  <c r="K619" i="16"/>
  <c r="K617" i="16"/>
  <c r="K615" i="16"/>
  <c r="K613" i="16"/>
  <c r="K611" i="16"/>
  <c r="P54" i="17"/>
  <c r="M53" i="17"/>
  <c r="N290" i="17"/>
  <c r="L34" i="17"/>
  <c r="O354" i="17"/>
  <c r="K625" i="17"/>
  <c r="K623" i="17"/>
  <c r="K621" i="17"/>
  <c r="K626" i="17"/>
  <c r="K624" i="17"/>
  <c r="K622" i="17"/>
  <c r="K620" i="17"/>
  <c r="O19" i="18"/>
  <c r="L640" i="18"/>
  <c r="O648" i="18"/>
  <c r="O438" i="19"/>
  <c r="L33" i="19"/>
  <c r="O33" i="19" s="1"/>
  <c r="M9" i="16"/>
  <c r="M29" i="16"/>
  <c r="M28" i="17"/>
  <c r="P28" i="17" s="1"/>
  <c r="N22" i="17"/>
  <c r="P330" i="17"/>
  <c r="M329" i="17"/>
  <c r="O291" i="18"/>
  <c r="O351" i="18"/>
  <c r="L31" i="18"/>
  <c r="O258" i="19"/>
  <c r="L26" i="19"/>
  <c r="L53" i="20"/>
  <c r="K620" i="15"/>
  <c r="K622" i="15"/>
  <c r="K624" i="15"/>
  <c r="K628" i="16"/>
  <c r="K634" i="16"/>
  <c r="O25" i="17"/>
  <c r="L15" i="17"/>
  <c r="O15" i="17" s="1"/>
  <c r="O119" i="17"/>
  <c r="P144" i="17"/>
  <c r="N222" i="17"/>
  <c r="K340" i="17"/>
  <c r="O352" i="17"/>
  <c r="N31" i="17"/>
  <c r="N29" i="17" s="1"/>
  <c r="K402" i="17"/>
  <c r="K631" i="17"/>
  <c r="P30" i="18"/>
  <c r="M28" i="18"/>
  <c r="P28" i="18" s="1"/>
  <c r="L24" i="18"/>
  <c r="L57" i="18"/>
  <c r="O405" i="18"/>
  <c r="L33" i="18"/>
  <c r="O33" i="18" s="1"/>
  <c r="K621" i="16"/>
  <c r="K623" i="16"/>
  <c r="K625" i="16"/>
  <c r="K612" i="17"/>
  <c r="K614" i="17"/>
  <c r="K616" i="17"/>
  <c r="K618" i="17"/>
  <c r="N644" i="17"/>
  <c r="N640" i="17" s="1"/>
  <c r="L26" i="18"/>
  <c r="K138" i="18"/>
  <c r="K199" i="18"/>
  <c r="O221" i="18"/>
  <c r="O258" i="18"/>
  <c r="P314" i="18"/>
  <c r="K419" i="18"/>
  <c r="K425" i="18"/>
  <c r="K431" i="18"/>
  <c r="L23" i="19"/>
  <c r="L70" i="19"/>
  <c r="P254" i="19"/>
  <c r="P57" i="18"/>
  <c r="M55" i="18"/>
  <c r="L23" i="18"/>
  <c r="L70" i="18"/>
  <c r="P311" i="18"/>
  <c r="O385" i="18"/>
  <c r="M41" i="19"/>
  <c r="N26" i="19"/>
  <c r="N16" i="19" s="1"/>
  <c r="P251" i="19"/>
  <c r="O351" i="19"/>
  <c r="L31" i="19"/>
  <c r="K369" i="19"/>
  <c r="I367" i="19"/>
  <c r="K367" i="19" s="1"/>
  <c r="P251" i="18"/>
  <c r="O383" i="18"/>
  <c r="L32" i="18"/>
  <c r="N33" i="18"/>
  <c r="N13" i="18" s="1"/>
  <c r="O21" i="19"/>
  <c r="L19" i="19"/>
  <c r="L24" i="19"/>
  <c r="O291" i="19"/>
  <c r="K369" i="20"/>
  <c r="I367" i="20"/>
  <c r="K367" i="20" s="1"/>
  <c r="O384" i="20"/>
  <c r="L33" i="20"/>
  <c r="O33" i="20" s="1"/>
  <c r="M22" i="21"/>
  <c r="P70" i="21"/>
  <c r="P224" i="21"/>
  <c r="N222" i="21"/>
  <c r="P222" i="21" s="1"/>
  <c r="K620" i="16"/>
  <c r="K622" i="16"/>
  <c r="K624" i="16"/>
  <c r="K611" i="17"/>
  <c r="K613" i="17"/>
  <c r="K615" i="17"/>
  <c r="K617" i="17"/>
  <c r="P21" i="18"/>
  <c r="M19" i="18"/>
  <c r="N26" i="18"/>
  <c r="N16" i="18" s="1"/>
  <c r="M68" i="18"/>
  <c r="M26" i="18"/>
  <c r="K82" i="18"/>
  <c r="K88" i="18"/>
  <c r="K216" i="18"/>
  <c r="M312" i="18"/>
  <c r="P337" i="18"/>
  <c r="K381" i="18"/>
  <c r="N32" i="18"/>
  <c r="N30" i="18" s="1"/>
  <c r="K593" i="18"/>
  <c r="P21" i="19"/>
  <c r="M11" i="19"/>
  <c r="M19" i="19"/>
  <c r="O42" i="19"/>
  <c r="N43" i="19"/>
  <c r="N41" i="19" s="1"/>
  <c r="M252" i="19"/>
  <c r="P11" i="20"/>
  <c r="N142" i="20"/>
  <c r="N140" i="20" s="1"/>
  <c r="N22" i="20"/>
  <c r="K158" i="20"/>
  <c r="O275" i="20"/>
  <c r="K343" i="19"/>
  <c r="O349" i="19"/>
  <c r="K465" i="19"/>
  <c r="O568" i="19"/>
  <c r="O57" i="20"/>
  <c r="N19" i="22"/>
  <c r="N331" i="18"/>
  <c r="O330" i="19"/>
  <c r="K375" i="19"/>
  <c r="O401" i="19"/>
  <c r="K450" i="19"/>
  <c r="P19" i="20"/>
  <c r="P25" i="20"/>
  <c r="M15" i="20"/>
  <c r="P15" i="20" s="1"/>
  <c r="M30" i="20"/>
  <c r="P30" i="20" s="1"/>
  <c r="P32" i="20"/>
  <c r="K533" i="20"/>
  <c r="O19" i="22"/>
  <c r="K617" i="18"/>
  <c r="O337" i="19"/>
  <c r="M337" i="19"/>
  <c r="P337" i="21"/>
  <c r="M331" i="21"/>
  <c r="O456" i="21"/>
  <c r="L31" i="21"/>
  <c r="O21" i="21"/>
  <c r="L19" i="21"/>
  <c r="P291" i="21"/>
  <c r="M43" i="20"/>
  <c r="P67" i="20"/>
  <c r="N68" i="20"/>
  <c r="N66" i="20" s="1"/>
  <c r="K573" i="20"/>
  <c r="N22" i="21"/>
  <c r="N331" i="21"/>
  <c r="N329" i="21" s="1"/>
  <c r="O382" i="20"/>
  <c r="L31" i="20"/>
  <c r="N19" i="21"/>
  <c r="O141" i="21"/>
  <c r="K595" i="19"/>
  <c r="K621" i="19"/>
  <c r="K623" i="19"/>
  <c r="L23" i="20"/>
  <c r="N220" i="20"/>
  <c r="P220" i="20" s="1"/>
  <c r="N292" i="20"/>
  <c r="N290" i="20" s="1"/>
  <c r="M337" i="20"/>
  <c r="K435" i="20"/>
  <c r="P254" i="21"/>
  <c r="M252" i="21"/>
  <c r="P9" i="22"/>
  <c r="K593" i="19"/>
  <c r="P23" i="20"/>
  <c r="M13" i="20"/>
  <c r="P13" i="20" s="1"/>
  <c r="N26" i="20"/>
  <c r="M140" i="20"/>
  <c r="P141" i="20"/>
  <c r="P330" i="20"/>
  <c r="L32" i="20"/>
  <c r="O383" i="20"/>
  <c r="O437" i="20"/>
  <c r="N32" i="20"/>
  <c r="N30" i="20" s="1"/>
  <c r="L640" i="20"/>
  <c r="L24" i="21"/>
  <c r="L57" i="21"/>
  <c r="M74" i="21"/>
  <c r="O74" i="21"/>
  <c r="K533" i="21"/>
  <c r="O535" i="21"/>
  <c r="L32" i="21"/>
  <c r="P23" i="22"/>
  <c r="M13" i="22"/>
  <c r="P13" i="22" s="1"/>
  <c r="L15" i="22"/>
  <c r="O15" i="22" s="1"/>
  <c r="O25" i="22"/>
  <c r="N43" i="20"/>
  <c r="N41" i="20" s="1"/>
  <c r="K164" i="20"/>
  <c r="P224" i="20"/>
  <c r="P333" i="20"/>
  <c r="K634" i="20"/>
  <c r="M271" i="21"/>
  <c r="P272" i="21"/>
  <c r="O311" i="21"/>
  <c r="K619" i="21"/>
  <c r="K617" i="21"/>
  <c r="K615" i="21"/>
  <c r="K613" i="21"/>
  <c r="K611" i="21"/>
  <c r="K618" i="21"/>
  <c r="K616" i="21"/>
  <c r="K614" i="21"/>
  <c r="K612" i="21"/>
  <c r="K625" i="21"/>
  <c r="K623" i="21"/>
  <c r="K621" i="21"/>
  <c r="K626" i="21"/>
  <c r="K624" i="21"/>
  <c r="K622" i="21"/>
  <c r="K620" i="21"/>
  <c r="K630" i="21"/>
  <c r="K633" i="21"/>
  <c r="P29" i="22"/>
  <c r="M28" i="22"/>
  <c r="P28" i="22" s="1"/>
  <c r="N31" i="21"/>
  <c r="N29" i="21" s="1"/>
  <c r="N32" i="21"/>
  <c r="N30" i="21" s="1"/>
  <c r="O25" i="21"/>
  <c r="L15" i="21"/>
  <c r="O15" i="21" s="1"/>
  <c r="O568" i="21"/>
  <c r="N292" i="22"/>
  <c r="N290" i="22" s="1"/>
  <c r="N22" i="22"/>
  <c r="L31" i="22"/>
  <c r="O436" i="22"/>
  <c r="O119" i="20"/>
  <c r="P144" i="20"/>
  <c r="K618" i="20"/>
  <c r="K616" i="20"/>
  <c r="K614" i="20"/>
  <c r="K612" i="20"/>
  <c r="K619" i="20"/>
  <c r="K617" i="20"/>
  <c r="K615" i="20"/>
  <c r="K613" i="20"/>
  <c r="K611" i="20"/>
  <c r="K625" i="20"/>
  <c r="K665" i="20"/>
  <c r="L26" i="21"/>
  <c r="M53" i="21"/>
  <c r="P57" i="21"/>
  <c r="P144" i="21"/>
  <c r="M220" i="21"/>
  <c r="O251" i="21"/>
  <c r="O337" i="21"/>
  <c r="L33" i="21"/>
  <c r="O33" i="21" s="1"/>
  <c r="K621" i="20"/>
  <c r="K623" i="20"/>
  <c r="M11" i="21"/>
  <c r="K368" i="21"/>
  <c r="O435" i="21"/>
  <c r="O533" i="21"/>
  <c r="N644" i="21"/>
  <c r="N640" i="21" s="1"/>
  <c r="N638" i="21" s="1"/>
  <c r="N636" i="21" s="1"/>
  <c r="O49" i="22"/>
  <c r="L26" i="22"/>
  <c r="P333" i="22"/>
  <c r="O438" i="22"/>
  <c r="L33" i="22"/>
  <c r="O33" i="22" s="1"/>
  <c r="K235" i="21"/>
  <c r="L640" i="21"/>
  <c r="O665" i="21"/>
  <c r="O330" i="22"/>
  <c r="N31" i="22"/>
  <c r="N29" i="22" s="1"/>
  <c r="N644" i="22"/>
  <c r="N640" i="22" s="1"/>
  <c r="N638" i="22" s="1"/>
  <c r="N636" i="22" s="1"/>
  <c r="K396" i="21"/>
  <c r="K663" i="21"/>
  <c r="O54" i="22"/>
  <c r="M14" i="22"/>
  <c r="P14" i="22" s="1"/>
  <c r="N55" i="22"/>
  <c r="N53" i="22" s="1"/>
  <c r="O148" i="22"/>
  <c r="O349" i="22"/>
  <c r="K619" i="22"/>
  <c r="K617" i="22"/>
  <c r="K615" i="22"/>
  <c r="K613" i="22"/>
  <c r="K611" i="22"/>
  <c r="K618" i="22"/>
  <c r="K616" i="22"/>
  <c r="K614" i="22"/>
  <c r="K612" i="22"/>
  <c r="M41" i="22"/>
  <c r="P42" i="22"/>
  <c r="P45" i="22"/>
  <c r="O337" i="22"/>
  <c r="M337" i="22"/>
  <c r="M331" i="22" s="1"/>
  <c r="O347" i="22"/>
  <c r="M53" i="22"/>
  <c r="O95" i="22"/>
  <c r="P221" i="22"/>
  <c r="O568" i="22"/>
  <c r="P119" i="22"/>
  <c r="M271" i="22"/>
  <c r="P271" i="22" s="1"/>
  <c r="O34" i="6" l="1"/>
  <c r="L120" i="16"/>
  <c r="O120" i="16" s="1"/>
  <c r="L292" i="19"/>
  <c r="O292" i="19" s="1"/>
  <c r="L96" i="15"/>
  <c r="O30" i="22"/>
  <c r="M250" i="18"/>
  <c r="P250" i="18" s="1"/>
  <c r="L11" i="2"/>
  <c r="O11" i="2" s="1"/>
  <c r="L29" i="2"/>
  <c r="O29" i="2" s="1"/>
  <c r="P331" i="14"/>
  <c r="K112" i="1"/>
  <c r="P331" i="11"/>
  <c r="L638" i="22"/>
  <c r="L292" i="15"/>
  <c r="L290" i="15" s="1"/>
  <c r="O290" i="15" s="1"/>
  <c r="O533" i="1"/>
  <c r="K370" i="1"/>
  <c r="L273" i="15"/>
  <c r="L271" i="15" s="1"/>
  <c r="O271" i="15" s="1"/>
  <c r="M118" i="11"/>
  <c r="P118" i="11" s="1"/>
  <c r="K185" i="1"/>
  <c r="M310" i="9"/>
  <c r="P310" i="9" s="1"/>
  <c r="O224" i="4"/>
  <c r="P142" i="9"/>
  <c r="L120" i="2"/>
  <c r="L118" i="2" s="1"/>
  <c r="O118" i="2" s="1"/>
  <c r="P292" i="18"/>
  <c r="K65" i="1"/>
  <c r="L43" i="6"/>
  <c r="L41" i="6" s="1"/>
  <c r="O41" i="6" s="1"/>
  <c r="P252" i="15"/>
  <c r="O333" i="7"/>
  <c r="P273" i="21"/>
  <c r="O254" i="11"/>
  <c r="P55" i="10"/>
  <c r="O45" i="9"/>
  <c r="P55" i="20"/>
  <c r="N11" i="12"/>
  <c r="N9" i="12" s="1"/>
  <c r="O55" i="20"/>
  <c r="L55" i="3"/>
  <c r="L53" i="3" s="1"/>
  <c r="O45" i="13"/>
  <c r="N271" i="18"/>
  <c r="P271" i="18" s="1"/>
  <c r="P222" i="9"/>
  <c r="P220" i="9"/>
  <c r="O144" i="8"/>
  <c r="O43" i="12"/>
  <c r="K631" i="1"/>
  <c r="P53" i="15"/>
  <c r="M66" i="7"/>
  <c r="P66" i="7" s="1"/>
  <c r="L68" i="4"/>
  <c r="O68" i="4" s="1"/>
  <c r="K431" i="1"/>
  <c r="L292" i="22"/>
  <c r="L290" i="22" s="1"/>
  <c r="O290" i="22" s="1"/>
  <c r="O57" i="17"/>
  <c r="L250" i="11"/>
  <c r="O250" i="11" s="1"/>
  <c r="L120" i="6"/>
  <c r="O120" i="6" s="1"/>
  <c r="M118" i="3"/>
  <c r="P118" i="3" s="1"/>
  <c r="P273" i="3"/>
  <c r="K633" i="1"/>
  <c r="K649" i="1"/>
  <c r="K620" i="1"/>
  <c r="P68" i="5"/>
  <c r="K451" i="1"/>
  <c r="O333" i="8"/>
  <c r="K564" i="1"/>
  <c r="O144" i="2"/>
  <c r="L96" i="2"/>
  <c r="O96" i="2" s="1"/>
  <c r="L142" i="5"/>
  <c r="O142" i="5" s="1"/>
  <c r="P53" i="20"/>
  <c r="O568" i="1"/>
  <c r="O53" i="20"/>
  <c r="O120" i="10"/>
  <c r="M310" i="3"/>
  <c r="P310" i="3" s="1"/>
  <c r="K424" i="1"/>
  <c r="K306" i="1"/>
  <c r="P68" i="18"/>
  <c r="P271" i="3"/>
  <c r="K597" i="1"/>
  <c r="K229" i="1"/>
  <c r="N41" i="21"/>
  <c r="P41" i="21" s="1"/>
  <c r="K625" i="1"/>
  <c r="N28" i="8"/>
  <c r="M118" i="13"/>
  <c r="P118" i="13" s="1"/>
  <c r="O222" i="14"/>
  <c r="O254" i="10"/>
  <c r="P222" i="14"/>
  <c r="K427" i="1"/>
  <c r="K425" i="1"/>
  <c r="K368" i="1"/>
  <c r="K622" i="1"/>
  <c r="K624" i="1"/>
  <c r="P220" i="6"/>
  <c r="L273" i="3"/>
  <c r="O273" i="3" s="1"/>
  <c r="N41" i="3"/>
  <c r="P41" i="3" s="1"/>
  <c r="P331" i="12"/>
  <c r="N11" i="7"/>
  <c r="N9" i="7" s="1"/>
  <c r="K235" i="1"/>
  <c r="O144" i="14"/>
  <c r="N66" i="13"/>
  <c r="P66" i="13" s="1"/>
  <c r="P222" i="6"/>
  <c r="O57" i="4"/>
  <c r="O70" i="11"/>
  <c r="L96" i="10"/>
  <c r="L94" i="10" s="1"/>
  <c r="O94" i="10" s="1"/>
  <c r="M310" i="20"/>
  <c r="P310" i="20" s="1"/>
  <c r="L96" i="19"/>
  <c r="O96" i="19" s="1"/>
  <c r="O254" i="21"/>
  <c r="L43" i="3"/>
  <c r="L41" i="3" s="1"/>
  <c r="P142" i="8"/>
  <c r="M310" i="14"/>
  <c r="P310" i="14" s="1"/>
  <c r="L55" i="19"/>
  <c r="L53" i="19" s="1"/>
  <c r="O53" i="19" s="1"/>
  <c r="L96" i="8"/>
  <c r="O96" i="8" s="1"/>
  <c r="K88" i="1"/>
  <c r="O34" i="4"/>
  <c r="L331" i="11"/>
  <c r="N53" i="17"/>
  <c r="P53" i="17" s="1"/>
  <c r="O224" i="17"/>
  <c r="O34" i="5"/>
  <c r="L222" i="3"/>
  <c r="L220" i="3" s="1"/>
  <c r="O597" i="1"/>
  <c r="O404" i="1"/>
  <c r="K324" i="1"/>
  <c r="L331" i="9"/>
  <c r="O331" i="9" s="1"/>
  <c r="M310" i="10"/>
  <c r="P310" i="10" s="1"/>
  <c r="K455" i="1"/>
  <c r="P294" i="1"/>
  <c r="L68" i="21"/>
  <c r="L66" i="21" s="1"/>
  <c r="O66" i="21" s="1"/>
  <c r="L252" i="6"/>
  <c r="O252" i="6" s="1"/>
  <c r="O314" i="4"/>
  <c r="P314" i="1"/>
  <c r="P331" i="4"/>
  <c r="L14" i="22"/>
  <c r="O14" i="22" s="1"/>
  <c r="O333" i="14"/>
  <c r="K266" i="1"/>
  <c r="K270" i="1"/>
  <c r="L222" i="12"/>
  <c r="O222" i="12" s="1"/>
  <c r="P140" i="7"/>
  <c r="P142" i="7"/>
  <c r="K465" i="1"/>
  <c r="O98" i="16"/>
  <c r="O144" i="17"/>
  <c r="K580" i="1"/>
  <c r="K629" i="1"/>
  <c r="O555" i="1"/>
  <c r="O380" i="1"/>
  <c r="P53" i="16"/>
  <c r="K426" i="1"/>
  <c r="K497" i="1"/>
  <c r="O314" i="5"/>
  <c r="O599" i="1"/>
  <c r="K138" i="1"/>
  <c r="K216" i="1"/>
  <c r="M310" i="21"/>
  <c r="P310" i="21" s="1"/>
  <c r="K249" i="1"/>
  <c r="O331" i="22"/>
  <c r="P55" i="16"/>
  <c r="K380" i="1"/>
  <c r="O331" i="4"/>
  <c r="K189" i="1"/>
  <c r="K626" i="1"/>
  <c r="O337" i="1"/>
  <c r="O224" i="18"/>
  <c r="O331" i="8"/>
  <c r="O352" i="1"/>
  <c r="O537" i="1"/>
  <c r="K309" i="1"/>
  <c r="K428" i="1"/>
  <c r="O34" i="9"/>
  <c r="P273" i="6"/>
  <c r="P331" i="18"/>
  <c r="O45" i="22"/>
  <c r="P118" i="21"/>
  <c r="O142" i="14"/>
  <c r="K200" i="1"/>
  <c r="L252" i="2"/>
  <c r="O252" i="2" s="1"/>
  <c r="K201" i="1"/>
  <c r="O551" i="1"/>
  <c r="K81" i="1"/>
  <c r="O122" i="11"/>
  <c r="N29" i="10"/>
  <c r="N28" i="10" s="1"/>
  <c r="J671" i="1"/>
  <c r="K671" i="1" s="1"/>
  <c r="L68" i="7"/>
  <c r="O68" i="7" s="1"/>
  <c r="P120" i="21"/>
  <c r="L120" i="14"/>
  <c r="O120" i="14" s="1"/>
  <c r="P252" i="4"/>
  <c r="K267" i="1"/>
  <c r="L142" i="12"/>
  <c r="P142" i="11"/>
  <c r="N55" i="1"/>
  <c r="N53" i="1" s="1"/>
  <c r="P140" i="14"/>
  <c r="O140" i="14"/>
  <c r="K213" i="1"/>
  <c r="K164" i="1"/>
  <c r="O298" i="1"/>
  <c r="L96" i="14"/>
  <c r="K421" i="1"/>
  <c r="O314" i="14"/>
  <c r="L96" i="3"/>
  <c r="L94" i="3" s="1"/>
  <c r="O94" i="3" s="1"/>
  <c r="O55" i="11"/>
  <c r="K663" i="1"/>
  <c r="K219" i="1"/>
  <c r="P275" i="1"/>
  <c r="K402" i="1"/>
  <c r="K64" i="1"/>
  <c r="K285" i="1"/>
  <c r="O254" i="14"/>
  <c r="K396" i="1"/>
  <c r="O582" i="1"/>
  <c r="K635" i="1"/>
  <c r="L68" i="20"/>
  <c r="O68" i="20" s="1"/>
  <c r="O294" i="21"/>
  <c r="K397" i="1"/>
  <c r="O122" i="7"/>
  <c r="K623" i="1"/>
  <c r="O222" i="18"/>
  <c r="P222" i="10"/>
  <c r="P55" i="2"/>
  <c r="N28" i="7"/>
  <c r="K621" i="1"/>
  <c r="L331" i="18"/>
  <c r="L329" i="18" s="1"/>
  <c r="O294" i="16"/>
  <c r="O30" i="16"/>
  <c r="N271" i="10"/>
  <c r="P271" i="10" s="1"/>
  <c r="P331" i="7"/>
  <c r="L310" i="16"/>
  <c r="O310" i="16" s="1"/>
  <c r="O636" i="9"/>
  <c r="P220" i="10"/>
  <c r="K418" i="1"/>
  <c r="K419" i="1"/>
  <c r="O32" i="16"/>
  <c r="L222" i="5"/>
  <c r="O222" i="5" s="1"/>
  <c r="O564" i="1"/>
  <c r="K547" i="1"/>
  <c r="K117" i="1"/>
  <c r="K430" i="1"/>
  <c r="K265" i="1"/>
  <c r="K82" i="1"/>
  <c r="P45" i="1"/>
  <c r="O553" i="1"/>
  <c r="K466" i="1"/>
  <c r="P122" i="1"/>
  <c r="K199" i="1"/>
  <c r="K560" i="1"/>
  <c r="M118" i="14"/>
  <c r="P118" i="14" s="1"/>
  <c r="M94" i="22"/>
  <c r="P94" i="22" s="1"/>
  <c r="O57" i="22"/>
  <c r="L222" i="16"/>
  <c r="L220" i="16" s="1"/>
  <c r="O220" i="16" s="1"/>
  <c r="P140" i="21"/>
  <c r="P220" i="11"/>
  <c r="K464" i="1"/>
  <c r="K350" i="1"/>
  <c r="K648" i="1"/>
  <c r="K92" i="1"/>
  <c r="O459" i="1"/>
  <c r="K449" i="1"/>
  <c r="O142" i="4"/>
  <c r="K110" i="1"/>
  <c r="O122" i="21"/>
  <c r="L9" i="16"/>
  <c r="O9" i="16" s="1"/>
  <c r="L273" i="10"/>
  <c r="O273" i="10" s="1"/>
  <c r="L96" i="7"/>
  <c r="O96" i="7" s="1"/>
  <c r="K628" i="1"/>
  <c r="N250" i="3"/>
  <c r="P250" i="3" s="1"/>
  <c r="O455" i="1"/>
  <c r="K341" i="1"/>
  <c r="K416" i="1"/>
  <c r="M250" i="14"/>
  <c r="P250" i="14" s="1"/>
  <c r="O34" i="13"/>
  <c r="P68" i="4"/>
  <c r="O144" i="3"/>
  <c r="L252" i="4"/>
  <c r="L250" i="4" s="1"/>
  <c r="O250" i="4" s="1"/>
  <c r="O580" i="1"/>
  <c r="O333" i="21"/>
  <c r="L252" i="12"/>
  <c r="O252" i="12" s="1"/>
  <c r="N11" i="2"/>
  <c r="N9" i="2" s="1"/>
  <c r="M331" i="16"/>
  <c r="M329" i="16" s="1"/>
  <c r="P329" i="16" s="1"/>
  <c r="O566" i="1"/>
  <c r="O294" i="2"/>
  <c r="P118" i="19"/>
  <c r="K108" i="1"/>
  <c r="K349" i="1"/>
  <c r="O224" i="21"/>
  <c r="O68" i="17"/>
  <c r="P222" i="15"/>
  <c r="L273" i="11"/>
  <c r="O273" i="11" s="1"/>
  <c r="O57" i="11"/>
  <c r="O45" i="11"/>
  <c r="L312" i="9"/>
  <c r="L310" i="9" s="1"/>
  <c r="O310" i="9" s="1"/>
  <c r="N53" i="9"/>
  <c r="P53" i="9" s="1"/>
  <c r="P329" i="7"/>
  <c r="K474" i="1"/>
  <c r="L312" i="20"/>
  <c r="O312" i="20" s="1"/>
  <c r="K630" i="1"/>
  <c r="L331" i="6"/>
  <c r="L329" i="6" s="1"/>
  <c r="O55" i="17"/>
  <c r="L43" i="20"/>
  <c r="L41" i="20" s="1"/>
  <c r="O41" i="20" s="1"/>
  <c r="L120" i="19"/>
  <c r="O120" i="19" s="1"/>
  <c r="O222" i="17"/>
  <c r="O45" i="19"/>
  <c r="O34" i="17"/>
  <c r="L273" i="17"/>
  <c r="L271" i="17" s="1"/>
  <c r="O271" i="17" s="1"/>
  <c r="P220" i="19"/>
  <c r="O275" i="12"/>
  <c r="L222" i="10"/>
  <c r="O222" i="10" s="1"/>
  <c r="L273" i="13"/>
  <c r="O273" i="13" s="1"/>
  <c r="L292" i="8"/>
  <c r="O292" i="8" s="1"/>
  <c r="L68" i="22"/>
  <c r="O68" i="22" s="1"/>
  <c r="P120" i="20"/>
  <c r="P222" i="19"/>
  <c r="N140" i="17"/>
  <c r="P140" i="17" s="1"/>
  <c r="K573" i="1"/>
  <c r="L252" i="20"/>
  <c r="O252" i="20" s="1"/>
  <c r="O122" i="10"/>
  <c r="L222" i="6"/>
  <c r="O222" i="6" s="1"/>
  <c r="O535" i="1"/>
  <c r="O34" i="10"/>
  <c r="P254" i="1"/>
  <c r="K87" i="1"/>
  <c r="O34" i="16"/>
  <c r="N41" i="13"/>
  <c r="P41" i="13" s="1"/>
  <c r="L273" i="14"/>
  <c r="O273" i="14" s="1"/>
  <c r="O57" i="7"/>
  <c r="P142" i="2"/>
  <c r="K109" i="1"/>
  <c r="O45" i="16"/>
  <c r="L312" i="3"/>
  <c r="L310" i="3" s="1"/>
  <c r="O310" i="3" s="1"/>
  <c r="P252" i="2"/>
  <c r="K186" i="1"/>
  <c r="K149" i="1"/>
  <c r="K204" i="1"/>
  <c r="K173" i="1"/>
  <c r="K401" i="1"/>
  <c r="K420" i="1"/>
  <c r="O457" i="1"/>
  <c r="K340" i="1"/>
  <c r="O34" i="22"/>
  <c r="O294" i="13"/>
  <c r="N28" i="11"/>
  <c r="O70" i="10"/>
  <c r="O294" i="5"/>
  <c r="N34" i="1"/>
  <c r="N14" i="1" s="1"/>
  <c r="O294" i="6"/>
  <c r="P144" i="1"/>
  <c r="P252" i="16"/>
  <c r="O70" i="9"/>
  <c r="O401" i="1"/>
  <c r="K158" i="1"/>
  <c r="P273" i="19"/>
  <c r="K85" i="1"/>
  <c r="K429" i="1"/>
  <c r="O333" i="22"/>
  <c r="L29" i="16"/>
  <c r="O29" i="16" s="1"/>
  <c r="L220" i="18"/>
  <c r="O31" i="16"/>
  <c r="P43" i="12"/>
  <c r="L312" i="7"/>
  <c r="O312" i="7" s="1"/>
  <c r="O102" i="1"/>
  <c r="O331" i="17"/>
  <c r="N220" i="18"/>
  <c r="P220" i="18" s="1"/>
  <c r="P250" i="2"/>
  <c r="L331" i="13"/>
  <c r="O331" i="13" s="1"/>
  <c r="P329" i="17"/>
  <c r="N11" i="14"/>
  <c r="N9" i="14" s="1"/>
  <c r="M290" i="22"/>
  <c r="P290" i="22" s="1"/>
  <c r="L96" i="13"/>
  <c r="O96" i="13" s="1"/>
  <c r="K328" i="1"/>
  <c r="K632" i="1"/>
  <c r="P331" i="2"/>
  <c r="P298" i="1"/>
  <c r="O98" i="18"/>
  <c r="K289" i="1"/>
  <c r="O671" i="1"/>
  <c r="L120" i="17"/>
  <c r="L118" i="17" s="1"/>
  <c r="O118" i="17" s="1"/>
  <c r="O45" i="12"/>
  <c r="O68" i="9"/>
  <c r="P312" i="5"/>
  <c r="K665" i="1"/>
  <c r="M250" i="22"/>
  <c r="P250" i="22" s="1"/>
  <c r="P273" i="17"/>
  <c r="L68" i="8"/>
  <c r="L66" i="8" s="1"/>
  <c r="O66" i="8" s="1"/>
  <c r="P53" i="8"/>
  <c r="K551" i="1"/>
  <c r="K372" i="1"/>
  <c r="K498" i="1"/>
  <c r="K668" i="1"/>
  <c r="O406" i="1"/>
  <c r="P68" i="10"/>
  <c r="M329" i="11"/>
  <c r="P329" i="11" s="1"/>
  <c r="L292" i="10"/>
  <c r="O292" i="10" s="1"/>
  <c r="O333" i="3"/>
  <c r="O310" i="5"/>
  <c r="K634" i="1"/>
  <c r="L312" i="2"/>
  <c r="L310" i="2" s="1"/>
  <c r="O333" i="19"/>
  <c r="P142" i="19"/>
  <c r="K482" i="1"/>
  <c r="O290" i="2"/>
  <c r="K499" i="1"/>
  <c r="K595" i="1"/>
  <c r="P43" i="6"/>
  <c r="O250" i="21"/>
  <c r="P55" i="18"/>
  <c r="P331" i="17"/>
  <c r="M290" i="3"/>
  <c r="P290" i="3" s="1"/>
  <c r="O43" i="16"/>
  <c r="O584" i="1"/>
  <c r="O142" i="3"/>
  <c r="O312" i="22"/>
  <c r="L310" i="22"/>
  <c r="O310" i="22" s="1"/>
  <c r="O651" i="1"/>
  <c r="L292" i="18"/>
  <c r="O292" i="18" s="1"/>
  <c r="O224" i="14"/>
  <c r="L68" i="16"/>
  <c r="O68" i="16" s="1"/>
  <c r="O144" i="9"/>
  <c r="M220" i="5"/>
  <c r="P220" i="5" s="1"/>
  <c r="P53" i="6"/>
  <c r="N53" i="4"/>
  <c r="N37" i="4" s="1"/>
  <c r="N43" i="1"/>
  <c r="N41" i="1" s="1"/>
  <c r="K215" i="1"/>
  <c r="M66" i="19"/>
  <c r="P66" i="19" s="1"/>
  <c r="L273" i="18"/>
  <c r="L271" i="18" s="1"/>
  <c r="P222" i="13"/>
  <c r="L222" i="7"/>
  <c r="O222" i="7" s="1"/>
  <c r="O55" i="9"/>
  <c r="P68" i="8"/>
  <c r="L273" i="5"/>
  <c r="L271" i="5" s="1"/>
  <c r="O271" i="5" s="1"/>
  <c r="K589" i="1"/>
  <c r="O333" i="4"/>
  <c r="M94" i="21"/>
  <c r="P94" i="21" s="1"/>
  <c r="P224" i="1"/>
  <c r="O314" i="21"/>
  <c r="L312" i="12"/>
  <c r="O312" i="12" s="1"/>
  <c r="L222" i="9"/>
  <c r="O222" i="9" s="1"/>
  <c r="O70" i="14"/>
  <c r="M140" i="8"/>
  <c r="P140" i="8" s="1"/>
  <c r="K113" i="1"/>
  <c r="O74" i="1"/>
  <c r="J651" i="1"/>
  <c r="K651" i="1" s="1"/>
  <c r="O314" i="22"/>
  <c r="P49" i="7"/>
  <c r="O224" i="2"/>
  <c r="O254" i="3"/>
  <c r="O331" i="14"/>
  <c r="P142" i="15"/>
  <c r="K343" i="1"/>
  <c r="O354" i="1"/>
  <c r="O601" i="1"/>
  <c r="L273" i="19"/>
  <c r="N271" i="19"/>
  <c r="P271" i="19" s="1"/>
  <c r="N11" i="16"/>
  <c r="N9" i="16" s="1"/>
  <c r="M118" i="8"/>
  <c r="P118" i="8" s="1"/>
  <c r="O45" i="10"/>
  <c r="K93" i="1"/>
  <c r="P98" i="1"/>
  <c r="L43" i="4"/>
  <c r="O43" i="4" s="1"/>
  <c r="P142" i="21"/>
  <c r="N28" i="9"/>
  <c r="L331" i="20"/>
  <c r="O331" i="20" s="1"/>
  <c r="L96" i="21"/>
  <c r="L94" i="21" s="1"/>
  <c r="O94" i="21" s="1"/>
  <c r="K375" i="1"/>
  <c r="K176" i="1"/>
  <c r="K345" i="1"/>
  <c r="O55" i="2"/>
  <c r="K132" i="1"/>
  <c r="N26" i="1"/>
  <c r="N16" i="1" s="1"/>
  <c r="M66" i="12"/>
  <c r="P66" i="12" s="1"/>
  <c r="L312" i="19"/>
  <c r="L310" i="19" s="1"/>
  <c r="O310" i="19" s="1"/>
  <c r="O314" i="15"/>
  <c r="M140" i="9"/>
  <c r="P140" i="9" s="1"/>
  <c r="N33" i="1"/>
  <c r="N13" i="1" s="1"/>
  <c r="K593" i="1"/>
  <c r="N28" i="2"/>
  <c r="O254" i="8"/>
  <c r="L120" i="22"/>
  <c r="L118" i="22" s="1"/>
  <c r="O118" i="22" s="1"/>
  <c r="L55" i="16"/>
  <c r="O55" i="16" s="1"/>
  <c r="O333" i="15"/>
  <c r="L53" i="11"/>
  <c r="L252" i="7"/>
  <c r="O252" i="7" s="1"/>
  <c r="M66" i="4"/>
  <c r="P66" i="4" s="1"/>
  <c r="L312" i="6"/>
  <c r="O312" i="6" s="1"/>
  <c r="O55" i="4"/>
  <c r="L331" i="2"/>
  <c r="O331" i="2" s="1"/>
  <c r="L273" i="22"/>
  <c r="P68" i="6"/>
  <c r="K86" i="1"/>
  <c r="K432" i="1"/>
  <c r="M310" i="8"/>
  <c r="P310" i="8" s="1"/>
  <c r="L252" i="13"/>
  <c r="O252" i="13" s="1"/>
  <c r="L273" i="9"/>
  <c r="O273" i="9" s="1"/>
  <c r="L142" i="15"/>
  <c r="O142" i="15" s="1"/>
  <c r="P140" i="5"/>
  <c r="P220" i="14"/>
  <c r="M94" i="15"/>
  <c r="P94" i="15" s="1"/>
  <c r="O220" i="4"/>
  <c r="O665" i="1"/>
  <c r="K422" i="1"/>
  <c r="K417" i="1"/>
  <c r="O122" i="18"/>
  <c r="L41" i="12"/>
  <c r="O41" i="12" s="1"/>
  <c r="O640" i="13"/>
  <c r="L273" i="4"/>
  <c r="O273" i="4" s="1"/>
  <c r="O252" i="5"/>
  <c r="O34" i="3"/>
  <c r="O314" i="8"/>
  <c r="L43" i="21"/>
  <c r="L120" i="13"/>
  <c r="N28" i="17"/>
  <c r="P55" i="6"/>
  <c r="L34" i="1"/>
  <c r="O43" i="10"/>
  <c r="P55" i="8"/>
  <c r="L22" i="4"/>
  <c r="O22" i="4" s="1"/>
  <c r="K376" i="1"/>
  <c r="O668" i="1"/>
  <c r="M290" i="16"/>
  <c r="P290" i="16" s="1"/>
  <c r="O57" i="9"/>
  <c r="P53" i="2"/>
  <c r="P222" i="4"/>
  <c r="L29" i="3"/>
  <c r="L28" i="3" s="1"/>
  <c r="M290" i="13"/>
  <c r="P290" i="13" s="1"/>
  <c r="P142" i="14"/>
  <c r="O347" i="1"/>
  <c r="K377" i="1"/>
  <c r="O640" i="19"/>
  <c r="L142" i="21"/>
  <c r="O142" i="21" s="1"/>
  <c r="L331" i="12"/>
  <c r="O331" i="12" s="1"/>
  <c r="L53" i="9"/>
  <c r="P310" i="5"/>
  <c r="P292" i="5"/>
  <c r="P55" i="3"/>
  <c r="O31" i="3"/>
  <c r="L222" i="15"/>
  <c r="L220" i="15" s="1"/>
  <c r="O220" i="15" s="1"/>
  <c r="L43" i="17"/>
  <c r="L41" i="17" s="1"/>
  <c r="O41" i="17" s="1"/>
  <c r="M26" i="16"/>
  <c r="O329" i="14"/>
  <c r="N329" i="10"/>
  <c r="P329" i="10" s="1"/>
  <c r="L68" i="12"/>
  <c r="L66" i="12" s="1"/>
  <c r="O66" i="12" s="1"/>
  <c r="L310" i="11"/>
  <c r="O310" i="11" s="1"/>
  <c r="P142" i="13"/>
  <c r="L96" i="9"/>
  <c r="L94" i="9" s="1"/>
  <c r="O94" i="9" s="1"/>
  <c r="L118" i="7"/>
  <c r="O118" i="7" s="1"/>
  <c r="O292" i="2"/>
  <c r="P140" i="13"/>
  <c r="P142" i="5"/>
  <c r="K83" i="1"/>
  <c r="M66" i="15"/>
  <c r="P66" i="15" s="1"/>
  <c r="K381" i="1"/>
  <c r="K481" i="1"/>
  <c r="L142" i="18"/>
  <c r="L140" i="18" s="1"/>
  <c r="O222" i="4"/>
  <c r="P222" i="3"/>
  <c r="O254" i="5"/>
  <c r="L55" i="5"/>
  <c r="L53" i="5" s="1"/>
  <c r="O144" i="10"/>
  <c r="K423" i="1"/>
  <c r="P271" i="17"/>
  <c r="P271" i="21"/>
  <c r="L14" i="16"/>
  <c r="O14" i="16" s="1"/>
  <c r="M271" i="13"/>
  <c r="P271" i="13" s="1"/>
  <c r="P140" i="16"/>
  <c r="L292" i="14"/>
  <c r="L290" i="14" s="1"/>
  <c r="O290" i="14" s="1"/>
  <c r="L329" i="8"/>
  <c r="O329" i="8" s="1"/>
  <c r="O144" i="6"/>
  <c r="M290" i="4"/>
  <c r="P290" i="4" s="1"/>
  <c r="P120" i="4"/>
  <c r="P329" i="14"/>
  <c r="O142" i="10"/>
  <c r="O314" i="11"/>
  <c r="K264" i="1"/>
  <c r="P271" i="5"/>
  <c r="K473" i="1"/>
  <c r="O68" i="14"/>
  <c r="L66" i="14"/>
  <c r="O66" i="14" s="1"/>
  <c r="O43" i="22"/>
  <c r="L41" i="22"/>
  <c r="O41" i="22" s="1"/>
  <c r="P66" i="8"/>
  <c r="P94" i="16"/>
  <c r="M118" i="10"/>
  <c r="P118" i="10" s="1"/>
  <c r="M220" i="22"/>
  <c r="P220" i="22" s="1"/>
  <c r="O254" i="19"/>
  <c r="N28" i="13"/>
  <c r="O333" i="16"/>
  <c r="L43" i="15"/>
  <c r="L41" i="15" s="1"/>
  <c r="L96" i="12"/>
  <c r="O96" i="12" s="1"/>
  <c r="P53" i="12"/>
  <c r="O640" i="9"/>
  <c r="L66" i="10"/>
  <c r="O66" i="10" s="1"/>
  <c r="L43" i="2"/>
  <c r="L41" i="2" s="1"/>
  <c r="K435" i="1"/>
  <c r="K304" i="1"/>
  <c r="O331" i="19"/>
  <c r="P41" i="8"/>
  <c r="L292" i="3"/>
  <c r="O294" i="4"/>
  <c r="L142" i="22"/>
  <c r="O142" i="22" s="1"/>
  <c r="O45" i="18"/>
  <c r="M250" i="8"/>
  <c r="P250" i="8" s="1"/>
  <c r="L96" i="4"/>
  <c r="O96" i="4" s="1"/>
  <c r="O34" i="7"/>
  <c r="M43" i="7"/>
  <c r="P43" i="7" s="1"/>
  <c r="P273" i="5"/>
  <c r="O661" i="1"/>
  <c r="N37" i="14"/>
  <c r="O98" i="22"/>
  <c r="P118" i="17"/>
  <c r="L142" i="11"/>
  <c r="O142" i="11" s="1"/>
  <c r="O638" i="9"/>
  <c r="O122" i="8"/>
  <c r="M26" i="5"/>
  <c r="P26" i="5" s="1"/>
  <c r="M250" i="5"/>
  <c r="P250" i="5" s="1"/>
  <c r="L68" i="5"/>
  <c r="L66" i="5" s="1"/>
  <c r="O66" i="5" s="1"/>
  <c r="O142" i="6"/>
  <c r="N220" i="12"/>
  <c r="P220" i="12" s="1"/>
  <c r="M250" i="10"/>
  <c r="P250" i="10" s="1"/>
  <c r="L120" i="15"/>
  <c r="M250" i="9"/>
  <c r="P250" i="9" s="1"/>
  <c r="O650" i="1"/>
  <c r="N31" i="1"/>
  <c r="N29" i="1" s="1"/>
  <c r="N28" i="14"/>
  <c r="M66" i="11"/>
  <c r="P66" i="11" s="1"/>
  <c r="P53" i="22"/>
  <c r="P55" i="22"/>
  <c r="N28" i="22"/>
  <c r="P53" i="21"/>
  <c r="P120" i="17"/>
  <c r="P142" i="16"/>
  <c r="N53" i="13"/>
  <c r="P53" i="13" s="1"/>
  <c r="L118" i="11"/>
  <c r="O118" i="11" s="1"/>
  <c r="L290" i="9"/>
  <c r="O290" i="9" s="1"/>
  <c r="L222" i="8"/>
  <c r="O222" i="8" s="1"/>
  <c r="O32" i="7"/>
  <c r="M26" i="6"/>
  <c r="M20" i="6" s="1"/>
  <c r="M329" i="4"/>
  <c r="P329" i="4" s="1"/>
  <c r="O57" i="2"/>
  <c r="O30" i="19"/>
  <c r="O34" i="20"/>
  <c r="N53" i="11"/>
  <c r="P53" i="11" s="1"/>
  <c r="N32" i="1"/>
  <c r="N30" i="1" s="1"/>
  <c r="O34" i="18"/>
  <c r="L222" i="19"/>
  <c r="O222" i="19" s="1"/>
  <c r="O96" i="16"/>
  <c r="O144" i="16"/>
  <c r="M290" i="15"/>
  <c r="P290" i="15" s="1"/>
  <c r="P16" i="13"/>
  <c r="M310" i="12"/>
  <c r="P310" i="12" s="1"/>
  <c r="L22" i="11"/>
  <c r="O22" i="11" s="1"/>
  <c r="L252" i="9"/>
  <c r="O252" i="9" s="1"/>
  <c r="P337" i="6"/>
  <c r="L120" i="3"/>
  <c r="O120" i="3" s="1"/>
  <c r="L252" i="17"/>
  <c r="O252" i="17" s="1"/>
  <c r="N140" i="18"/>
  <c r="P140" i="18" s="1"/>
  <c r="O32" i="19"/>
  <c r="M290" i="14"/>
  <c r="P290" i="14" s="1"/>
  <c r="K80" i="1"/>
  <c r="P312" i="4"/>
  <c r="P55" i="21"/>
  <c r="P252" i="19"/>
  <c r="P26" i="13"/>
  <c r="P43" i="16"/>
  <c r="N11" i="13"/>
  <c r="N9" i="13" s="1"/>
  <c r="N41" i="11"/>
  <c r="O41" i="11" s="1"/>
  <c r="L22" i="9"/>
  <c r="O22" i="9" s="1"/>
  <c r="M96" i="5"/>
  <c r="P96" i="5" s="1"/>
  <c r="P43" i="8"/>
  <c r="K591" i="1"/>
  <c r="L22" i="6"/>
  <c r="O22" i="6" s="1"/>
  <c r="K450" i="1"/>
  <c r="N329" i="18"/>
  <c r="P329" i="18" s="1"/>
  <c r="O32" i="17"/>
  <c r="N220" i="21"/>
  <c r="O26" i="11"/>
  <c r="L22" i="17"/>
  <c r="O22" i="17" s="1"/>
  <c r="O271" i="8"/>
  <c r="L122" i="1"/>
  <c r="O122" i="1" s="1"/>
  <c r="P96" i="19"/>
  <c r="O43" i="18"/>
  <c r="M271" i="12"/>
  <c r="P271" i="12" s="1"/>
  <c r="O222" i="21"/>
  <c r="N28" i="16"/>
  <c r="P273" i="16"/>
  <c r="O314" i="13"/>
  <c r="L312" i="13"/>
  <c r="M118" i="9"/>
  <c r="P118" i="9" s="1"/>
  <c r="O120" i="8"/>
  <c r="L118" i="8"/>
  <c r="O118" i="8" s="1"/>
  <c r="O275" i="8"/>
  <c r="N250" i="6"/>
  <c r="P250" i="6" s="1"/>
  <c r="P252" i="6"/>
  <c r="M290" i="21"/>
  <c r="P290" i="21" s="1"/>
  <c r="L329" i="19"/>
  <c r="O329" i="19" s="1"/>
  <c r="O314" i="18"/>
  <c r="P222" i="17"/>
  <c r="M250" i="13"/>
  <c r="P250" i="13" s="1"/>
  <c r="N41" i="15"/>
  <c r="M9" i="13"/>
  <c r="P55" i="15"/>
  <c r="L22" i="10"/>
  <c r="O22" i="10" s="1"/>
  <c r="P331" i="9"/>
  <c r="N37" i="7"/>
  <c r="N28" i="6"/>
  <c r="L29" i="7"/>
  <c r="O29" i="7" s="1"/>
  <c r="L294" i="1"/>
  <c r="O294" i="1" s="1"/>
  <c r="O122" i="5"/>
  <c r="M292" i="2"/>
  <c r="P292" i="2" s="1"/>
  <c r="L24" i="1"/>
  <c r="O24" i="1" s="1"/>
  <c r="P333" i="1"/>
  <c r="P271" i="16"/>
  <c r="P11" i="10"/>
  <c r="M9" i="10"/>
  <c r="P9" i="10" s="1"/>
  <c r="L640" i="1"/>
  <c r="L638" i="1" s="1"/>
  <c r="L636" i="1" s="1"/>
  <c r="O649" i="1"/>
  <c r="M28" i="9"/>
  <c r="P28" i="9" s="1"/>
  <c r="O437" i="1"/>
  <c r="L32" i="1"/>
  <c r="L142" i="20"/>
  <c r="L140" i="20" s="1"/>
  <c r="O140" i="20" s="1"/>
  <c r="P22" i="12"/>
  <c r="N66" i="9"/>
  <c r="P66" i="9" s="1"/>
  <c r="O31" i="7"/>
  <c r="O16" i="9"/>
  <c r="K533" i="1"/>
  <c r="N11" i="3"/>
  <c r="N9" i="3" s="1"/>
  <c r="L312" i="17"/>
  <c r="O144" i="13"/>
  <c r="M329" i="12"/>
  <c r="P329" i="12" s="1"/>
  <c r="L254" i="1"/>
  <c r="O254" i="1" s="1"/>
  <c r="L292" i="17"/>
  <c r="O294" i="17"/>
  <c r="L120" i="5"/>
  <c r="O120" i="5" s="1"/>
  <c r="P298" i="2"/>
  <c r="L222" i="22"/>
  <c r="O222" i="22" s="1"/>
  <c r="P140" i="20"/>
  <c r="P142" i="20"/>
  <c r="M290" i="18"/>
  <c r="P290" i="18" s="1"/>
  <c r="L30" i="17"/>
  <c r="O30" i="17" s="1"/>
  <c r="P96" i="16"/>
  <c r="L41" i="10"/>
  <c r="O41" i="10" s="1"/>
  <c r="N11" i="11"/>
  <c r="N9" i="11" s="1"/>
  <c r="L333" i="1"/>
  <c r="O333" i="1" s="1"/>
  <c r="P26" i="7"/>
  <c r="O26" i="9"/>
  <c r="L9" i="7"/>
  <c r="O9" i="7" s="1"/>
  <c r="M290" i="5"/>
  <c r="P290" i="5" s="1"/>
  <c r="L55" i="6"/>
  <c r="O55" i="6" s="1"/>
  <c r="L13" i="2"/>
  <c r="O13" i="2" s="1"/>
  <c r="O254" i="16"/>
  <c r="L142" i="7"/>
  <c r="O252" i="21"/>
  <c r="M290" i="12"/>
  <c r="P290" i="12" s="1"/>
  <c r="O254" i="15"/>
  <c r="L252" i="15"/>
  <c r="M9" i="8"/>
  <c r="P9" i="8" s="1"/>
  <c r="P11" i="8"/>
  <c r="M250" i="4"/>
  <c r="P250" i="4" s="1"/>
  <c r="O383" i="1"/>
  <c r="M94" i="14"/>
  <c r="P94" i="14" s="1"/>
  <c r="O55" i="22"/>
  <c r="O331" i="21"/>
  <c r="L329" i="21"/>
  <c r="O329" i="21" s="1"/>
  <c r="L292" i="20"/>
  <c r="O292" i="20" s="1"/>
  <c r="M94" i="19"/>
  <c r="P94" i="19" s="1"/>
  <c r="L66" i="17"/>
  <c r="O66" i="17" s="1"/>
  <c r="L310" i="14"/>
  <c r="O310" i="14" s="1"/>
  <c r="P16" i="9"/>
  <c r="P16" i="7"/>
  <c r="N140" i="6"/>
  <c r="O140" i="6" s="1"/>
  <c r="P142" i="4"/>
  <c r="M118" i="22"/>
  <c r="P118" i="22" s="1"/>
  <c r="P312" i="16"/>
  <c r="O34" i="19"/>
  <c r="O312" i="5"/>
  <c r="P68" i="22"/>
  <c r="M66" i="22"/>
  <c r="P66" i="22" s="1"/>
  <c r="P96" i="18"/>
  <c r="M94" i="18"/>
  <c r="P94" i="18" s="1"/>
  <c r="M28" i="19"/>
  <c r="P28" i="19" s="1"/>
  <c r="N37" i="5"/>
  <c r="L140" i="13"/>
  <c r="O140" i="13" s="1"/>
  <c r="O142" i="13"/>
  <c r="N29" i="20"/>
  <c r="N28" i="20" s="1"/>
  <c r="O224" i="20"/>
  <c r="L22" i="18"/>
  <c r="O22" i="18" s="1"/>
  <c r="L22" i="19"/>
  <c r="O22" i="19" s="1"/>
  <c r="L252" i="18"/>
  <c r="O252" i="18" s="1"/>
  <c r="O333" i="17"/>
  <c r="M140" i="15"/>
  <c r="P140" i="15" s="1"/>
  <c r="M94" i="11"/>
  <c r="P94" i="11" s="1"/>
  <c r="M271" i="6"/>
  <c r="P271" i="6" s="1"/>
  <c r="L273" i="7"/>
  <c r="O273" i="7" s="1"/>
  <c r="L22" i="22"/>
  <c r="L12" i="22" s="1"/>
  <c r="P120" i="18"/>
  <c r="O273" i="8"/>
  <c r="P66" i="6"/>
  <c r="O34" i="2"/>
  <c r="O57" i="14"/>
  <c r="P329" i="9"/>
  <c r="N11" i="8"/>
  <c r="N9" i="8" s="1"/>
  <c r="L22" i="2"/>
  <c r="L12" i="2" s="1"/>
  <c r="N28" i="3"/>
  <c r="M26" i="2"/>
  <c r="P26" i="2" s="1"/>
  <c r="N22" i="1"/>
  <c r="L331" i="5"/>
  <c r="L23" i="1"/>
  <c r="O23" i="1" s="1"/>
  <c r="P26" i="9"/>
  <c r="P312" i="17"/>
  <c r="M310" i="17"/>
  <c r="P310" i="17" s="1"/>
  <c r="L120" i="12"/>
  <c r="O122" i="12"/>
  <c r="O34" i="11"/>
  <c r="O96" i="18"/>
  <c r="L94" i="18"/>
  <c r="O94" i="18" s="1"/>
  <c r="N19" i="1"/>
  <c r="L57" i="1"/>
  <c r="O57" i="1" s="1"/>
  <c r="L252" i="22"/>
  <c r="O254" i="22"/>
  <c r="O144" i="19"/>
  <c r="L142" i="19"/>
  <c r="N250" i="19"/>
  <c r="N252" i="1"/>
  <c r="P96" i="17"/>
  <c r="M94" i="17"/>
  <c r="P94" i="17" s="1"/>
  <c r="L222" i="11"/>
  <c r="O224" i="11"/>
  <c r="L120" i="9"/>
  <c r="O122" i="9"/>
  <c r="M290" i="10"/>
  <c r="P290" i="10" s="1"/>
  <c r="P292" i="10"/>
  <c r="P292" i="7"/>
  <c r="M290" i="7"/>
  <c r="P290" i="7" s="1"/>
  <c r="O122" i="4"/>
  <c r="L120" i="4"/>
  <c r="P273" i="2"/>
  <c r="M271" i="2"/>
  <c r="P271" i="2" s="1"/>
  <c r="N37" i="22"/>
  <c r="N292" i="1"/>
  <c r="N37" i="16"/>
  <c r="O30" i="7"/>
  <c r="N142" i="1"/>
  <c r="O53" i="2"/>
  <c r="P140" i="19"/>
  <c r="O292" i="16"/>
  <c r="L290" i="16"/>
  <c r="O290" i="16" s="1"/>
  <c r="L250" i="16"/>
  <c r="O250" i="16" s="1"/>
  <c r="M290" i="11"/>
  <c r="P290" i="11" s="1"/>
  <c r="P292" i="11"/>
  <c r="P312" i="13"/>
  <c r="M310" i="13"/>
  <c r="P310" i="13" s="1"/>
  <c r="L310" i="15"/>
  <c r="O310" i="15" s="1"/>
  <c r="O312" i="15"/>
  <c r="P222" i="7"/>
  <c r="M220" i="7"/>
  <c r="P220" i="7" s="1"/>
  <c r="L310" i="8"/>
  <c r="O310" i="8" s="1"/>
  <c r="O312" i="8"/>
  <c r="O23" i="6"/>
  <c r="L13" i="6"/>
  <c r="O13" i="6" s="1"/>
  <c r="O252" i="8"/>
  <c r="L250" i="8"/>
  <c r="O250" i="8" s="1"/>
  <c r="M94" i="3"/>
  <c r="P94" i="3" s="1"/>
  <c r="P96" i="3"/>
  <c r="M329" i="2"/>
  <c r="P329" i="2" s="1"/>
  <c r="M222" i="1"/>
  <c r="O292" i="4"/>
  <c r="L290" i="4"/>
  <c r="O290" i="4" s="1"/>
  <c r="N11" i="22"/>
  <c r="N9" i="22" s="1"/>
  <c r="L290" i="19"/>
  <c r="O290" i="19" s="1"/>
  <c r="O34" i="12"/>
  <c r="P26" i="11"/>
  <c r="M118" i="6"/>
  <c r="P118" i="6" s="1"/>
  <c r="P312" i="22"/>
  <c r="M310" i="22"/>
  <c r="P310" i="22" s="1"/>
  <c r="P292" i="20"/>
  <c r="M290" i="20"/>
  <c r="P290" i="20" s="1"/>
  <c r="L292" i="11"/>
  <c r="O294" i="11"/>
  <c r="O34" i="21"/>
  <c r="O292" i="7"/>
  <c r="L290" i="7"/>
  <c r="O290" i="7" s="1"/>
  <c r="O98" i="6"/>
  <c r="L96" i="6"/>
  <c r="N11" i="19"/>
  <c r="N9" i="19" s="1"/>
  <c r="N29" i="19"/>
  <c r="N28" i="19" s="1"/>
  <c r="M310" i="15"/>
  <c r="P310" i="15" s="1"/>
  <c r="P312" i="15"/>
  <c r="P142" i="12"/>
  <c r="M140" i="12"/>
  <c r="P140" i="12" s="1"/>
  <c r="P43" i="17"/>
  <c r="M41" i="17"/>
  <c r="P41" i="17" s="1"/>
  <c r="N140" i="10"/>
  <c r="P142" i="10"/>
  <c r="P252" i="11"/>
  <c r="M250" i="11"/>
  <c r="P250" i="11" s="1"/>
  <c r="M271" i="8"/>
  <c r="P271" i="8" s="1"/>
  <c r="P273" i="8"/>
  <c r="P312" i="6"/>
  <c r="M310" i="6"/>
  <c r="P310" i="6" s="1"/>
  <c r="L310" i="21"/>
  <c r="O310" i="21" s="1"/>
  <c r="M118" i="15"/>
  <c r="P118" i="15" s="1"/>
  <c r="L250" i="14"/>
  <c r="O250" i="14" s="1"/>
  <c r="N20" i="8"/>
  <c r="N18" i="8" s="1"/>
  <c r="L140" i="3"/>
  <c r="O140" i="3" s="1"/>
  <c r="P43" i="22"/>
  <c r="P252" i="17"/>
  <c r="M250" i="17"/>
  <c r="P250" i="17" s="1"/>
  <c r="P252" i="20"/>
  <c r="M250" i="20"/>
  <c r="P250" i="20" s="1"/>
  <c r="M66" i="20"/>
  <c r="P66" i="20" s="1"/>
  <c r="P273" i="15"/>
  <c r="M271" i="15"/>
  <c r="P271" i="15" s="1"/>
  <c r="P96" i="20"/>
  <c r="M94" i="20"/>
  <c r="P94" i="20" s="1"/>
  <c r="L55" i="13"/>
  <c r="O57" i="13"/>
  <c r="M26" i="12"/>
  <c r="M96" i="12"/>
  <c r="P102" i="12"/>
  <c r="N11" i="9"/>
  <c r="N9" i="9" s="1"/>
  <c r="M310" i="7"/>
  <c r="P310" i="7" s="1"/>
  <c r="P312" i="7"/>
  <c r="O68" i="12"/>
  <c r="P292" i="6"/>
  <c r="M290" i="6"/>
  <c r="P290" i="6" s="1"/>
  <c r="L250" i="3"/>
  <c r="O252" i="3"/>
  <c r="L53" i="22"/>
  <c r="O53" i="22" s="1"/>
  <c r="L329" i="22"/>
  <c r="O329" i="22" s="1"/>
  <c r="N220" i="17"/>
  <c r="O220" i="17" s="1"/>
  <c r="L250" i="10"/>
  <c r="O250" i="10" s="1"/>
  <c r="M290" i="8"/>
  <c r="P290" i="8" s="1"/>
  <c r="L45" i="1"/>
  <c r="O45" i="1" s="1"/>
  <c r="O30" i="3"/>
  <c r="O32" i="22"/>
  <c r="O275" i="21"/>
  <c r="L273" i="21"/>
  <c r="O122" i="20"/>
  <c r="L120" i="20"/>
  <c r="N29" i="18"/>
  <c r="N28" i="18" s="1"/>
  <c r="N11" i="18"/>
  <c r="N9" i="18" s="1"/>
  <c r="M271" i="11"/>
  <c r="P271" i="11" s="1"/>
  <c r="P55" i="12"/>
  <c r="M250" i="7"/>
  <c r="P250" i="7" s="1"/>
  <c r="P252" i="7"/>
  <c r="P222" i="11"/>
  <c r="M271" i="7"/>
  <c r="P271" i="7" s="1"/>
  <c r="P120" i="5"/>
  <c r="M118" i="5"/>
  <c r="P118" i="5" s="1"/>
  <c r="N29" i="4"/>
  <c r="N28" i="4" s="1"/>
  <c r="N11" i="4"/>
  <c r="N9" i="4" s="1"/>
  <c r="P273" i="4"/>
  <c r="M271" i="4"/>
  <c r="P271" i="4" s="1"/>
  <c r="L144" i="1"/>
  <c r="O144" i="1" s="1"/>
  <c r="L9" i="15"/>
  <c r="O11" i="15"/>
  <c r="P74" i="21"/>
  <c r="M26" i="21"/>
  <c r="M20" i="21" s="1"/>
  <c r="L13" i="22"/>
  <c r="O13" i="22" s="1"/>
  <c r="L94" i="22"/>
  <c r="O94" i="22" s="1"/>
  <c r="N28" i="21"/>
  <c r="N11" i="21"/>
  <c r="N9" i="21" s="1"/>
  <c r="N12" i="21"/>
  <c r="N10" i="21" s="1"/>
  <c r="N20" i="21"/>
  <c r="N18" i="21" s="1"/>
  <c r="L271" i="20"/>
  <c r="O271" i="20" s="1"/>
  <c r="O273" i="20"/>
  <c r="P19" i="19"/>
  <c r="O120" i="18"/>
  <c r="L118" i="18"/>
  <c r="O118" i="18" s="1"/>
  <c r="M66" i="18"/>
  <c r="P66" i="18" s="1"/>
  <c r="O638" i="19"/>
  <c r="L636" i="19"/>
  <c r="O636" i="19" s="1"/>
  <c r="M250" i="19"/>
  <c r="O23" i="18"/>
  <c r="L13" i="18"/>
  <c r="O13" i="18" s="1"/>
  <c r="M9" i="17"/>
  <c r="O331" i="15"/>
  <c r="L329" i="15"/>
  <c r="O329" i="15" s="1"/>
  <c r="P22" i="19"/>
  <c r="M12" i="19"/>
  <c r="P19" i="17"/>
  <c r="P19" i="15"/>
  <c r="O640" i="16"/>
  <c r="N12" i="16"/>
  <c r="N10" i="16" s="1"/>
  <c r="N20" i="16"/>
  <c r="N18" i="16" s="1"/>
  <c r="P220" i="15"/>
  <c r="P22" i="13"/>
  <c r="M20" i="13"/>
  <c r="M12" i="13"/>
  <c r="O640" i="11"/>
  <c r="L638" i="11"/>
  <c r="O23" i="14"/>
  <c r="L13" i="14"/>
  <c r="O13" i="14" s="1"/>
  <c r="O34" i="14"/>
  <c r="O16" i="11"/>
  <c r="O24" i="13"/>
  <c r="L14" i="13"/>
  <c r="O14" i="13" s="1"/>
  <c r="N12" i="12"/>
  <c r="N10" i="12" s="1"/>
  <c r="N20" i="12"/>
  <c r="N18" i="12" s="1"/>
  <c r="O638" i="13"/>
  <c r="L636" i="13"/>
  <c r="O636" i="13" s="1"/>
  <c r="O19" i="10"/>
  <c r="O292" i="13"/>
  <c r="L290" i="13"/>
  <c r="O290" i="13" s="1"/>
  <c r="N28" i="12"/>
  <c r="M66" i="10"/>
  <c r="P66" i="10" s="1"/>
  <c r="O24" i="14"/>
  <c r="L14" i="14"/>
  <c r="O14" i="14" s="1"/>
  <c r="P273" i="9"/>
  <c r="M271" i="9"/>
  <c r="P271" i="9" s="1"/>
  <c r="M273" i="1"/>
  <c r="L66" i="11"/>
  <c r="O66" i="11" s="1"/>
  <c r="M290" i="9"/>
  <c r="P290" i="9" s="1"/>
  <c r="P292" i="9"/>
  <c r="P16" i="11"/>
  <c r="P19" i="9"/>
  <c r="P19" i="11"/>
  <c r="N12" i="8"/>
  <c r="N10" i="8" s="1"/>
  <c r="M94" i="7"/>
  <c r="P94" i="7" s="1"/>
  <c r="M26" i="4"/>
  <c r="M20" i="4" s="1"/>
  <c r="P49" i="4"/>
  <c r="M49" i="1"/>
  <c r="O43" i="9"/>
  <c r="N37" i="8"/>
  <c r="O640" i="4"/>
  <c r="L638" i="4"/>
  <c r="N11" i="6"/>
  <c r="N9" i="6" s="1"/>
  <c r="L140" i="4"/>
  <c r="O140" i="4" s="1"/>
  <c r="O24" i="4"/>
  <c r="L14" i="4"/>
  <c r="O14" i="4" s="1"/>
  <c r="O24" i="5"/>
  <c r="L14" i="5"/>
  <c r="O14" i="5" s="1"/>
  <c r="N222" i="1"/>
  <c r="O222" i="2"/>
  <c r="M12" i="2"/>
  <c r="P22" i="2"/>
  <c r="O24" i="2"/>
  <c r="L14" i="2"/>
  <c r="O14" i="2" s="1"/>
  <c r="O42" i="1"/>
  <c r="N644" i="1"/>
  <c r="N640" i="1" s="1"/>
  <c r="O648" i="1"/>
  <c r="M102" i="1"/>
  <c r="P102" i="1" s="1"/>
  <c r="O24" i="6"/>
  <c r="L14" i="6"/>
  <c r="O14" i="6" s="1"/>
  <c r="M96" i="4"/>
  <c r="N220" i="2"/>
  <c r="O640" i="8"/>
  <c r="L638" i="8"/>
  <c r="L310" i="4"/>
  <c r="O310" i="4" s="1"/>
  <c r="O312" i="4"/>
  <c r="O70" i="3"/>
  <c r="L68" i="3"/>
  <c r="P140" i="2"/>
  <c r="N94" i="2"/>
  <c r="N94" i="1" s="1"/>
  <c r="N96" i="1"/>
  <c r="N12" i="6"/>
  <c r="N10" i="6" s="1"/>
  <c r="N20" i="6"/>
  <c r="N18" i="6" s="1"/>
  <c r="P22" i="4"/>
  <c r="M12" i="4"/>
  <c r="O26" i="3"/>
  <c r="L16" i="3"/>
  <c r="O16" i="3" s="1"/>
  <c r="M28" i="3"/>
  <c r="P28" i="3" s="1"/>
  <c r="O436" i="1"/>
  <c r="L31" i="1"/>
  <c r="L11" i="1" s="1"/>
  <c r="O275" i="6"/>
  <c r="L273" i="6"/>
  <c r="O31" i="5"/>
  <c r="L29" i="5"/>
  <c r="L11" i="5"/>
  <c r="O55" i="5"/>
  <c r="O275" i="2"/>
  <c r="L275" i="1"/>
  <c r="O275" i="1" s="1"/>
  <c r="L273" i="2"/>
  <c r="P11" i="1"/>
  <c r="M9" i="1"/>
  <c r="L14" i="3"/>
  <c r="O14" i="3" s="1"/>
  <c r="O31" i="20"/>
  <c r="L11" i="20"/>
  <c r="L29" i="20"/>
  <c r="P43" i="20"/>
  <c r="M41" i="20"/>
  <c r="P331" i="21"/>
  <c r="M329" i="21"/>
  <c r="P329" i="21" s="1"/>
  <c r="P11" i="19"/>
  <c r="M9" i="19"/>
  <c r="P312" i="18"/>
  <c r="M312" i="1"/>
  <c r="L118" i="21"/>
  <c r="O118" i="21" s="1"/>
  <c r="O120" i="21"/>
  <c r="O252" i="19"/>
  <c r="L250" i="19"/>
  <c r="O32" i="18"/>
  <c r="L30" i="18"/>
  <c r="O30" i="18" s="1"/>
  <c r="O41" i="18"/>
  <c r="O31" i="17"/>
  <c r="L29" i="17"/>
  <c r="L11" i="17"/>
  <c r="O23" i="16"/>
  <c r="L13" i="16"/>
  <c r="O13" i="16" s="1"/>
  <c r="P292" i="19"/>
  <c r="M290" i="19"/>
  <c r="P290" i="19" s="1"/>
  <c r="N20" i="18"/>
  <c r="N18" i="18" s="1"/>
  <c r="N12" i="18"/>
  <c r="N10" i="18" s="1"/>
  <c r="O32" i="15"/>
  <c r="L30" i="15"/>
  <c r="O30" i="15" s="1"/>
  <c r="P11" i="15"/>
  <c r="M9" i="15"/>
  <c r="O26" i="17"/>
  <c r="L16" i="17"/>
  <c r="O16" i="17" s="1"/>
  <c r="P19" i="16"/>
  <c r="O19" i="15"/>
  <c r="O142" i="17"/>
  <c r="L140" i="17"/>
  <c r="O26" i="14"/>
  <c r="L16" i="14"/>
  <c r="O16" i="14" s="1"/>
  <c r="M329" i="13"/>
  <c r="P329" i="13" s="1"/>
  <c r="P331" i="13"/>
  <c r="O31" i="12"/>
  <c r="L29" i="12"/>
  <c r="O24" i="12"/>
  <c r="L14" i="12"/>
  <c r="O14" i="12" s="1"/>
  <c r="O34" i="15"/>
  <c r="L14" i="15"/>
  <c r="O14" i="15" s="1"/>
  <c r="M41" i="10"/>
  <c r="P43" i="10"/>
  <c r="P11" i="14"/>
  <c r="M9" i="14"/>
  <c r="O70" i="13"/>
  <c r="L68" i="13"/>
  <c r="P252" i="12"/>
  <c r="M250" i="12"/>
  <c r="P250" i="12" s="1"/>
  <c r="M252" i="1"/>
  <c r="N20" i="10"/>
  <c r="N18" i="10" s="1"/>
  <c r="N12" i="10"/>
  <c r="N10" i="10" s="1"/>
  <c r="N8" i="10" s="1"/>
  <c r="O11" i="10"/>
  <c r="L9" i="10"/>
  <c r="O30" i="13"/>
  <c r="O57" i="12"/>
  <c r="L55" i="12"/>
  <c r="O314" i="10"/>
  <c r="L312" i="10"/>
  <c r="P337" i="8"/>
  <c r="M26" i="8"/>
  <c r="M20" i="8" s="1"/>
  <c r="M331" i="8"/>
  <c r="L140" i="9"/>
  <c r="O140" i="9" s="1"/>
  <c r="O142" i="9"/>
  <c r="M9" i="9"/>
  <c r="P11" i="9"/>
  <c r="P11" i="11"/>
  <c r="M9" i="11"/>
  <c r="P22" i="9"/>
  <c r="M12" i="9"/>
  <c r="M20" i="9"/>
  <c r="M18" i="9" s="1"/>
  <c r="P22" i="8"/>
  <c r="M12" i="8"/>
  <c r="O32" i="9"/>
  <c r="L30" i="9"/>
  <c r="O30" i="9" s="1"/>
  <c r="O26" i="8"/>
  <c r="L16" i="8"/>
  <c r="O16" i="8" s="1"/>
  <c r="M41" i="4"/>
  <c r="P43" i="4"/>
  <c r="O292" i="5"/>
  <c r="L290" i="5"/>
  <c r="O640" i="3"/>
  <c r="L638" i="3"/>
  <c r="O31" i="6"/>
  <c r="L29" i="6"/>
  <c r="L11" i="6"/>
  <c r="N20" i="5"/>
  <c r="N18" i="5" s="1"/>
  <c r="N12" i="5"/>
  <c r="N10" i="5" s="1"/>
  <c r="P29" i="4"/>
  <c r="M28" i="4"/>
  <c r="P28" i="4" s="1"/>
  <c r="L33" i="1"/>
  <c r="O33" i="1" s="1"/>
  <c r="O353" i="1"/>
  <c r="O98" i="5"/>
  <c r="L96" i="5"/>
  <c r="O26" i="6"/>
  <c r="L16" i="6"/>
  <c r="O16" i="6" s="1"/>
  <c r="O32" i="6"/>
  <c r="L30" i="6"/>
  <c r="O30" i="6" s="1"/>
  <c r="L290" i="6"/>
  <c r="O290" i="6" s="1"/>
  <c r="O292" i="6"/>
  <c r="O19" i="3"/>
  <c r="K618" i="1"/>
  <c r="K616" i="1"/>
  <c r="K614" i="1"/>
  <c r="K612" i="1"/>
  <c r="K619" i="1"/>
  <c r="K613" i="1"/>
  <c r="K615" i="1"/>
  <c r="K617" i="1"/>
  <c r="K611" i="1"/>
  <c r="O331" i="11"/>
  <c r="L329" i="11"/>
  <c r="O329" i="11" s="1"/>
  <c r="M118" i="7"/>
  <c r="P118" i="7" s="1"/>
  <c r="P120" i="7"/>
  <c r="O640" i="6"/>
  <c r="L638" i="6"/>
  <c r="O23" i="5"/>
  <c r="L13" i="5"/>
  <c r="O13" i="5" s="1"/>
  <c r="P68" i="2"/>
  <c r="L314" i="1"/>
  <c r="O314" i="1" s="1"/>
  <c r="L14" i="7"/>
  <c r="O14" i="7" s="1"/>
  <c r="M28" i="1"/>
  <c r="P28" i="1" s="1"/>
  <c r="P29" i="1"/>
  <c r="O32" i="21"/>
  <c r="L30" i="21"/>
  <c r="O30" i="21" s="1"/>
  <c r="L29" i="22"/>
  <c r="L11" i="22"/>
  <c r="O31" i="22"/>
  <c r="N37" i="20"/>
  <c r="O32" i="20"/>
  <c r="L30" i="20"/>
  <c r="O30" i="20" s="1"/>
  <c r="N16" i="20"/>
  <c r="O16" i="20" s="1"/>
  <c r="O26" i="20"/>
  <c r="P337" i="19"/>
  <c r="M26" i="19"/>
  <c r="M331" i="19"/>
  <c r="M28" i="20"/>
  <c r="P28" i="20" s="1"/>
  <c r="N20" i="20"/>
  <c r="N18" i="20" s="1"/>
  <c r="N12" i="20"/>
  <c r="P12" i="20" s="1"/>
  <c r="P22" i="20"/>
  <c r="P19" i="18"/>
  <c r="L14" i="19"/>
  <c r="O14" i="19" s="1"/>
  <c r="O24" i="19"/>
  <c r="M310" i="18"/>
  <c r="P310" i="18" s="1"/>
  <c r="L29" i="18"/>
  <c r="O31" i="18"/>
  <c r="L11" i="18"/>
  <c r="O640" i="18"/>
  <c r="L638" i="18"/>
  <c r="P55" i="19"/>
  <c r="M53" i="19"/>
  <c r="P53" i="19" s="1"/>
  <c r="O275" i="16"/>
  <c r="L273" i="16"/>
  <c r="P11" i="12"/>
  <c r="M9" i="12"/>
  <c r="P41" i="16"/>
  <c r="P68" i="16"/>
  <c r="M66" i="16"/>
  <c r="O31" i="13"/>
  <c r="L29" i="13"/>
  <c r="L11" i="13"/>
  <c r="M94" i="13"/>
  <c r="P94" i="13" s="1"/>
  <c r="P41" i="12"/>
  <c r="O19" i="16"/>
  <c r="M12" i="22"/>
  <c r="P22" i="22"/>
  <c r="P53" i="14"/>
  <c r="N20" i="14"/>
  <c r="N18" i="14" s="1"/>
  <c r="N12" i="14"/>
  <c r="N10" i="14" s="1"/>
  <c r="L9" i="11"/>
  <c r="O11" i="11"/>
  <c r="P29" i="14"/>
  <c r="M28" i="14"/>
  <c r="P28" i="14" s="1"/>
  <c r="O19" i="12"/>
  <c r="L638" i="10"/>
  <c r="O640" i="10"/>
  <c r="L16" i="10"/>
  <c r="O16" i="10" s="1"/>
  <c r="O26" i="10"/>
  <c r="P22" i="11"/>
  <c r="M12" i="11"/>
  <c r="M20" i="11"/>
  <c r="O32" i="13"/>
  <c r="O24" i="11"/>
  <c r="L14" i="11"/>
  <c r="O14" i="11" s="1"/>
  <c r="P53" i="10"/>
  <c r="O23" i="12"/>
  <c r="L13" i="12"/>
  <c r="O13" i="12" s="1"/>
  <c r="O32" i="11"/>
  <c r="L30" i="11"/>
  <c r="O30" i="11" s="1"/>
  <c r="N12" i="11"/>
  <c r="N10" i="11" s="1"/>
  <c r="N20" i="11"/>
  <c r="N18" i="11" s="1"/>
  <c r="O23" i="9"/>
  <c r="L13" i="9"/>
  <c r="O13" i="9" s="1"/>
  <c r="L11" i="8"/>
  <c r="O31" i="8"/>
  <c r="L29" i="8"/>
  <c r="P53" i="7"/>
  <c r="O57" i="8"/>
  <c r="L55" i="8"/>
  <c r="P11" i="4"/>
  <c r="M9" i="4"/>
  <c r="M28" i="5"/>
  <c r="P28" i="5" s="1"/>
  <c r="P29" i="5"/>
  <c r="O32" i="5"/>
  <c r="L30" i="5"/>
  <c r="O30" i="5" s="1"/>
  <c r="O26" i="7"/>
  <c r="L16" i="7"/>
  <c r="O16" i="7" s="1"/>
  <c r="O23" i="3"/>
  <c r="L13" i="3"/>
  <c r="O13" i="3" s="1"/>
  <c r="N310" i="2"/>
  <c r="N310" i="1" s="1"/>
  <c r="N312" i="1"/>
  <c r="M55" i="1"/>
  <c r="M22" i="1"/>
  <c r="P57" i="1"/>
  <c r="P331" i="6"/>
  <c r="N29" i="5"/>
  <c r="N28" i="5" s="1"/>
  <c r="N11" i="5"/>
  <c r="N9" i="5" s="1"/>
  <c r="O32" i="3"/>
  <c r="N290" i="1"/>
  <c r="O45" i="5"/>
  <c r="L43" i="5"/>
  <c r="L22" i="5"/>
  <c r="P331" i="3"/>
  <c r="P19" i="6"/>
  <c r="L22" i="3"/>
  <c r="L26" i="1"/>
  <c r="P96" i="6"/>
  <c r="M94" i="6"/>
  <c r="P94" i="6" s="1"/>
  <c r="O26" i="5"/>
  <c r="L16" i="5"/>
  <c r="O16" i="5" s="1"/>
  <c r="L11" i="4"/>
  <c r="O31" i="4"/>
  <c r="L29" i="4"/>
  <c r="P53" i="3"/>
  <c r="P70" i="1"/>
  <c r="O55" i="7"/>
  <c r="N12" i="22"/>
  <c r="N10" i="22" s="1"/>
  <c r="N20" i="22"/>
  <c r="N18" i="22" s="1"/>
  <c r="O23" i="20"/>
  <c r="L13" i="20"/>
  <c r="O13" i="20" s="1"/>
  <c r="O222" i="20"/>
  <c r="L220" i="20"/>
  <c r="O220" i="20" s="1"/>
  <c r="O19" i="19"/>
  <c r="L29" i="19"/>
  <c r="O31" i="19"/>
  <c r="P41" i="19"/>
  <c r="M53" i="18"/>
  <c r="P53" i="18" s="1"/>
  <c r="O26" i="18"/>
  <c r="L16" i="18"/>
  <c r="O16" i="18" s="1"/>
  <c r="O26" i="19"/>
  <c r="L16" i="19"/>
  <c r="O16" i="19" s="1"/>
  <c r="M28" i="16"/>
  <c r="P28" i="16" s="1"/>
  <c r="P29" i="16"/>
  <c r="P9" i="18"/>
  <c r="L329" i="17"/>
  <c r="O329" i="17" s="1"/>
  <c r="P22" i="17"/>
  <c r="M12" i="17"/>
  <c r="O26" i="16"/>
  <c r="L16" i="16"/>
  <c r="O16" i="16" s="1"/>
  <c r="N12" i="19"/>
  <c r="N10" i="19" s="1"/>
  <c r="N20" i="19"/>
  <c r="N18" i="19" s="1"/>
  <c r="O19" i="14"/>
  <c r="P22" i="18"/>
  <c r="M20" i="18"/>
  <c r="M12" i="18"/>
  <c r="O98" i="17"/>
  <c r="L96" i="17"/>
  <c r="L29" i="15"/>
  <c r="O31" i="15"/>
  <c r="O70" i="15"/>
  <c r="L68" i="15"/>
  <c r="P120" i="16"/>
  <c r="M118" i="16"/>
  <c r="P118" i="16" s="1"/>
  <c r="L220" i="14"/>
  <c r="O220" i="14" s="1"/>
  <c r="O331" i="16"/>
  <c r="L329" i="16"/>
  <c r="O329" i="16" s="1"/>
  <c r="M12" i="16"/>
  <c r="P22" i="16"/>
  <c r="O23" i="13"/>
  <c r="L13" i="13"/>
  <c r="O13" i="13" s="1"/>
  <c r="O640" i="12"/>
  <c r="L638" i="12"/>
  <c r="O142" i="16"/>
  <c r="L140" i="16"/>
  <c r="O140" i="16" s="1"/>
  <c r="O41" i="16"/>
  <c r="O96" i="14"/>
  <c r="L94" i="14"/>
  <c r="O94" i="14" s="1"/>
  <c r="P142" i="22"/>
  <c r="M140" i="22"/>
  <c r="P140" i="22" s="1"/>
  <c r="L22" i="13"/>
  <c r="L29" i="10"/>
  <c r="O31" i="10"/>
  <c r="N12" i="13"/>
  <c r="N10" i="13" s="1"/>
  <c r="N20" i="13"/>
  <c r="N18" i="13" s="1"/>
  <c r="L11" i="12"/>
  <c r="O96" i="15"/>
  <c r="L94" i="15"/>
  <c r="O94" i="15" s="1"/>
  <c r="M26" i="10"/>
  <c r="P49" i="10"/>
  <c r="L22" i="12"/>
  <c r="O26" i="12"/>
  <c r="L16" i="12"/>
  <c r="O16" i="12" s="1"/>
  <c r="O55" i="10"/>
  <c r="L53" i="10"/>
  <c r="O53" i="10" s="1"/>
  <c r="O292" i="12"/>
  <c r="L290" i="12"/>
  <c r="O290" i="12" s="1"/>
  <c r="O43" i="11"/>
  <c r="O640" i="7"/>
  <c r="L638" i="7"/>
  <c r="O31" i="9"/>
  <c r="L29" i="9"/>
  <c r="L11" i="9"/>
  <c r="O23" i="8"/>
  <c r="L13" i="8"/>
  <c r="O13" i="8" s="1"/>
  <c r="O331" i="7"/>
  <c r="L329" i="7"/>
  <c r="O329" i="7" s="1"/>
  <c r="O45" i="8"/>
  <c r="L43" i="8"/>
  <c r="L22" i="8"/>
  <c r="P22" i="6"/>
  <c r="M12" i="6"/>
  <c r="N12" i="7"/>
  <c r="N10" i="7" s="1"/>
  <c r="N20" i="7"/>
  <c r="N18" i="7" s="1"/>
  <c r="P140" i="4"/>
  <c r="M20" i="7"/>
  <c r="M12" i="7"/>
  <c r="P22" i="7"/>
  <c r="P41" i="6"/>
  <c r="M12" i="5"/>
  <c r="P22" i="5"/>
  <c r="P220" i="4"/>
  <c r="P11" i="3"/>
  <c r="M9" i="3"/>
  <c r="P55" i="7"/>
  <c r="O32" i="4"/>
  <c r="L30" i="4"/>
  <c r="O30" i="4" s="1"/>
  <c r="P68" i="3"/>
  <c r="M66" i="3"/>
  <c r="P66" i="3" s="1"/>
  <c r="I367" i="1"/>
  <c r="K367" i="1" s="1"/>
  <c r="K369" i="1"/>
  <c r="O250" i="5"/>
  <c r="N220" i="3"/>
  <c r="N12" i="9"/>
  <c r="N10" i="9" s="1"/>
  <c r="N20" i="9"/>
  <c r="N18" i="9" s="1"/>
  <c r="O23" i="4"/>
  <c r="L13" i="4"/>
  <c r="O13" i="4" s="1"/>
  <c r="P19" i="1"/>
  <c r="N329" i="6"/>
  <c r="M9" i="6"/>
  <c r="P11" i="6"/>
  <c r="L329" i="4"/>
  <c r="O329" i="4" s="1"/>
  <c r="O385" i="1"/>
  <c r="P53" i="5"/>
  <c r="P96" i="2"/>
  <c r="O26" i="21"/>
  <c r="L16" i="21"/>
  <c r="O16" i="21" s="1"/>
  <c r="P41" i="22"/>
  <c r="P331" i="22"/>
  <c r="M329" i="22"/>
  <c r="P329" i="22" s="1"/>
  <c r="P11" i="21"/>
  <c r="M9" i="21"/>
  <c r="L636" i="22"/>
  <c r="O636" i="22" s="1"/>
  <c r="O638" i="22"/>
  <c r="P337" i="22"/>
  <c r="M26" i="22"/>
  <c r="L638" i="21"/>
  <c r="O640" i="21"/>
  <c r="L13" i="21"/>
  <c r="O13" i="21" s="1"/>
  <c r="L55" i="21"/>
  <c r="L22" i="21"/>
  <c r="O57" i="21"/>
  <c r="O640" i="20"/>
  <c r="L638" i="20"/>
  <c r="M26" i="20"/>
  <c r="M331" i="20"/>
  <c r="P337" i="20"/>
  <c r="O19" i="21"/>
  <c r="O41" i="19"/>
  <c r="P26" i="18"/>
  <c r="M16" i="18"/>
  <c r="P16" i="18" s="1"/>
  <c r="M68" i="21"/>
  <c r="L11" i="19"/>
  <c r="P43" i="19"/>
  <c r="O70" i="19"/>
  <c r="L68" i="19"/>
  <c r="N638" i="17"/>
  <c r="O640" i="17"/>
  <c r="O57" i="18"/>
  <c r="L55" i="18"/>
  <c r="P9" i="16"/>
  <c r="O98" i="20"/>
  <c r="L96" i="20"/>
  <c r="L22" i="20"/>
  <c r="L22" i="15"/>
  <c r="O57" i="15"/>
  <c r="L55" i="15"/>
  <c r="P43" i="18"/>
  <c r="M41" i="18"/>
  <c r="O23" i="17"/>
  <c r="L13" i="17"/>
  <c r="O13" i="17" s="1"/>
  <c r="L94" i="16"/>
  <c r="O94" i="16" s="1"/>
  <c r="L14" i="17"/>
  <c r="O14" i="17" s="1"/>
  <c r="N11" i="17"/>
  <c r="N9" i="17" s="1"/>
  <c r="O23" i="15"/>
  <c r="L13" i="15"/>
  <c r="O13" i="15" s="1"/>
  <c r="P9" i="13"/>
  <c r="P55" i="14"/>
  <c r="O224" i="13"/>
  <c r="L222" i="13"/>
  <c r="L224" i="1"/>
  <c r="O224" i="1" s="1"/>
  <c r="P337" i="15"/>
  <c r="M26" i="15"/>
  <c r="M20" i="15" s="1"/>
  <c r="M331" i="15"/>
  <c r="P68" i="14"/>
  <c r="M66" i="14"/>
  <c r="P66" i="14" s="1"/>
  <c r="L638" i="14"/>
  <c r="O640" i="14"/>
  <c r="L11" i="14"/>
  <c r="O31" i="14"/>
  <c r="L29" i="14"/>
  <c r="M41" i="14"/>
  <c r="P43" i="14"/>
  <c r="O43" i="13"/>
  <c r="L41" i="13"/>
  <c r="L29" i="11"/>
  <c r="O31" i="11"/>
  <c r="L271" i="12"/>
  <c r="O271" i="12" s="1"/>
  <c r="L14" i="10"/>
  <c r="O14" i="10" s="1"/>
  <c r="O24" i="10"/>
  <c r="M140" i="11"/>
  <c r="P140" i="11" s="1"/>
  <c r="O98" i="11"/>
  <c r="L96" i="11"/>
  <c r="O32" i="10"/>
  <c r="L30" i="10"/>
  <c r="O30" i="10" s="1"/>
  <c r="P22" i="10"/>
  <c r="O41" i="9"/>
  <c r="O23" i="10"/>
  <c r="L13" i="10"/>
  <c r="O13" i="10" s="1"/>
  <c r="O24" i="8"/>
  <c r="L14" i="8"/>
  <c r="O14" i="8" s="1"/>
  <c r="O26" i="4"/>
  <c r="L16" i="4"/>
  <c r="O16" i="4" s="1"/>
  <c r="M28" i="7"/>
  <c r="P28" i="7" s="1"/>
  <c r="P29" i="7"/>
  <c r="P11" i="5"/>
  <c r="M9" i="5"/>
  <c r="O34" i="8"/>
  <c r="M9" i="7"/>
  <c r="P53" i="4"/>
  <c r="O640" i="2"/>
  <c r="L638" i="2"/>
  <c r="N12" i="3"/>
  <c r="N10" i="3" s="1"/>
  <c r="N20" i="3"/>
  <c r="N18" i="3" s="1"/>
  <c r="P142" i="3"/>
  <c r="M142" i="1"/>
  <c r="P222" i="2"/>
  <c r="P66" i="2"/>
  <c r="M28" i="2"/>
  <c r="P28" i="2" s="1"/>
  <c r="P29" i="2"/>
  <c r="N68" i="1"/>
  <c r="M140" i="3"/>
  <c r="P140" i="3" s="1"/>
  <c r="O142" i="8"/>
  <c r="L140" i="8"/>
  <c r="O140" i="8" s="1"/>
  <c r="P19" i="5"/>
  <c r="P74" i="3"/>
  <c r="M26" i="3"/>
  <c r="M74" i="1"/>
  <c r="P74" i="1" s="1"/>
  <c r="O23" i="7"/>
  <c r="L13" i="7"/>
  <c r="O13" i="7" s="1"/>
  <c r="M329" i="6"/>
  <c r="P55" i="5"/>
  <c r="M329" i="3"/>
  <c r="O312" i="2"/>
  <c r="O142" i="2"/>
  <c r="L140" i="2"/>
  <c r="N20" i="2"/>
  <c r="N18" i="2" s="1"/>
  <c r="N12" i="2"/>
  <c r="N10" i="2" s="1"/>
  <c r="N8" i="2" s="1"/>
  <c r="L98" i="1"/>
  <c r="O98" i="1" s="1"/>
  <c r="M9" i="2"/>
  <c r="O26" i="22"/>
  <c r="L16" i="22"/>
  <c r="O16" i="22" s="1"/>
  <c r="O292" i="21"/>
  <c r="L290" i="21"/>
  <c r="O290" i="21" s="1"/>
  <c r="O24" i="21"/>
  <c r="L14" i="21"/>
  <c r="O14" i="21" s="1"/>
  <c r="M250" i="21"/>
  <c r="P250" i="21" s="1"/>
  <c r="P252" i="21"/>
  <c r="L29" i="21"/>
  <c r="O31" i="21"/>
  <c r="L11" i="21"/>
  <c r="M9" i="20"/>
  <c r="M12" i="21"/>
  <c r="P22" i="21"/>
  <c r="O312" i="18"/>
  <c r="L310" i="18"/>
  <c r="O310" i="18" s="1"/>
  <c r="O70" i="18"/>
  <c r="L68" i="18"/>
  <c r="O23" i="19"/>
  <c r="L13" i="19"/>
  <c r="O13" i="19" s="1"/>
  <c r="O24" i="18"/>
  <c r="L14" i="18"/>
  <c r="O14" i="18" s="1"/>
  <c r="O43" i="19"/>
  <c r="N12" i="17"/>
  <c r="N10" i="17" s="1"/>
  <c r="N20" i="17"/>
  <c r="N18" i="17" s="1"/>
  <c r="O24" i="20"/>
  <c r="L14" i="20"/>
  <c r="O14" i="20" s="1"/>
  <c r="L22" i="16"/>
  <c r="O640" i="15"/>
  <c r="L638" i="15"/>
  <c r="N11" i="15"/>
  <c r="N9" i="15" s="1"/>
  <c r="N29" i="15"/>
  <c r="N28" i="15" s="1"/>
  <c r="P19" i="12"/>
  <c r="P74" i="17"/>
  <c r="M68" i="17"/>
  <c r="M26" i="17"/>
  <c r="M20" i="17" s="1"/>
  <c r="M271" i="14"/>
  <c r="P271" i="14" s="1"/>
  <c r="L636" i="16"/>
  <c r="O636" i="16" s="1"/>
  <c r="O638" i="16"/>
  <c r="O26" i="15"/>
  <c r="L16" i="15"/>
  <c r="O16" i="15" s="1"/>
  <c r="O32" i="14"/>
  <c r="L30" i="14"/>
  <c r="O30" i="14" s="1"/>
  <c r="N12" i="15"/>
  <c r="N10" i="15" s="1"/>
  <c r="N20" i="15"/>
  <c r="N18" i="15" s="1"/>
  <c r="O55" i="14"/>
  <c r="O26" i="13"/>
  <c r="L16" i="13"/>
  <c r="O16" i="13" s="1"/>
  <c r="P220" i="16"/>
  <c r="P22" i="14"/>
  <c r="M12" i="14"/>
  <c r="M20" i="14"/>
  <c r="P26" i="14"/>
  <c r="M16" i="14"/>
  <c r="P16" i="14" s="1"/>
  <c r="P22" i="15"/>
  <c r="M12" i="15"/>
  <c r="L30" i="12"/>
  <c r="O30" i="12" s="1"/>
  <c r="O32" i="12"/>
  <c r="O53" i="14"/>
  <c r="P96" i="10"/>
  <c r="M94" i="10"/>
  <c r="P94" i="10" s="1"/>
  <c r="N271" i="12"/>
  <c r="N273" i="1"/>
  <c r="O142" i="12"/>
  <c r="L140" i="12"/>
  <c r="O140" i="12" s="1"/>
  <c r="O23" i="11"/>
  <c r="L13" i="11"/>
  <c r="O13" i="11" s="1"/>
  <c r="O45" i="14"/>
  <c r="L43" i="14"/>
  <c r="L22" i="14"/>
  <c r="P19" i="8"/>
  <c r="P41" i="9"/>
  <c r="L14" i="9"/>
  <c r="O14" i="9" s="1"/>
  <c r="L331" i="10"/>
  <c r="O333" i="10"/>
  <c r="L310" i="6"/>
  <c r="O310" i="6" s="1"/>
  <c r="M118" i="4"/>
  <c r="P118" i="4" s="1"/>
  <c r="L30" i="8"/>
  <c r="O30" i="8" s="1"/>
  <c r="O32" i="8"/>
  <c r="O53" i="7"/>
  <c r="P337" i="5"/>
  <c r="M331" i="5"/>
  <c r="M337" i="1"/>
  <c r="P337" i="1" s="1"/>
  <c r="N20" i="4"/>
  <c r="N18" i="4" s="1"/>
  <c r="N12" i="4"/>
  <c r="N10" i="4" s="1"/>
  <c r="O26" i="2"/>
  <c r="L16" i="2"/>
  <c r="O16" i="2" s="1"/>
  <c r="P43" i="5"/>
  <c r="M41" i="5"/>
  <c r="O70" i="2"/>
  <c r="L70" i="1"/>
  <c r="O70" i="1" s="1"/>
  <c r="L68" i="2"/>
  <c r="L19" i="1"/>
  <c r="O21" i="1"/>
  <c r="O19" i="6"/>
  <c r="O331" i="3"/>
  <c r="L329" i="3"/>
  <c r="M12" i="3"/>
  <c r="P22" i="3"/>
  <c r="M41" i="2"/>
  <c r="P43" i="2"/>
  <c r="P43" i="9"/>
  <c r="O70" i="6"/>
  <c r="L68" i="6"/>
  <c r="N329" i="3"/>
  <c r="N331" i="1"/>
  <c r="O32" i="2"/>
  <c r="L30" i="2"/>
  <c r="O30" i="2" s="1"/>
  <c r="O53" i="5"/>
  <c r="O11" i="3"/>
  <c r="L9" i="3"/>
  <c r="P118" i="2"/>
  <c r="N118" i="6"/>
  <c r="N120" i="1"/>
  <c r="O45" i="7"/>
  <c r="L43" i="7"/>
  <c r="L22" i="7"/>
  <c r="O640" i="5"/>
  <c r="L638" i="5"/>
  <c r="L12" i="4"/>
  <c r="L20" i="4"/>
  <c r="P120" i="2"/>
  <c r="M120" i="1"/>
  <c r="M16" i="6" l="1"/>
  <c r="P16" i="6" s="1"/>
  <c r="L28" i="16"/>
  <c r="O120" i="2"/>
  <c r="O273" i="15"/>
  <c r="L9" i="2"/>
  <c r="O292" i="22"/>
  <c r="L118" i="16"/>
  <c r="O118" i="16" s="1"/>
  <c r="O43" i="6"/>
  <c r="N8" i="12"/>
  <c r="L290" i="10"/>
  <c r="O290" i="10" s="1"/>
  <c r="O292" i="15"/>
  <c r="L310" i="7"/>
  <c r="O310" i="7" s="1"/>
  <c r="O43" i="20"/>
  <c r="L329" i="9"/>
  <c r="O329" i="9" s="1"/>
  <c r="L140" i="5"/>
  <c r="O140" i="5" s="1"/>
  <c r="L94" i="19"/>
  <c r="O94" i="19" s="1"/>
  <c r="L66" i="20"/>
  <c r="O66" i="20" s="1"/>
  <c r="L94" i="2"/>
  <c r="O94" i="2" s="1"/>
  <c r="O55" i="3"/>
  <c r="N8" i="7"/>
  <c r="O96" i="10"/>
  <c r="L94" i="8"/>
  <c r="O94" i="8" s="1"/>
  <c r="O120" i="17"/>
  <c r="L250" i="6"/>
  <c r="O250" i="6" s="1"/>
  <c r="O96" i="9"/>
  <c r="N37" i="21"/>
  <c r="L20" i="17"/>
  <c r="L18" i="17" s="1"/>
  <c r="O18" i="17" s="1"/>
  <c r="O252" i="4"/>
  <c r="O250" i="3"/>
  <c r="L220" i="5"/>
  <c r="O220" i="5" s="1"/>
  <c r="O55" i="19"/>
  <c r="O222" i="3"/>
  <c r="L118" i="14"/>
  <c r="O118" i="14" s="1"/>
  <c r="O53" i="9"/>
  <c r="N37" i="13"/>
  <c r="L220" i="12"/>
  <c r="O220" i="12" s="1"/>
  <c r="O271" i="18"/>
  <c r="O120" i="22"/>
  <c r="O312" i="3"/>
  <c r="L250" i="2"/>
  <c r="O250" i="2" s="1"/>
  <c r="L94" i="12"/>
  <c r="O94" i="12" s="1"/>
  <c r="L118" i="6"/>
  <c r="O118" i="6" s="1"/>
  <c r="N8" i="19"/>
  <c r="O68" i="21"/>
  <c r="L94" i="13"/>
  <c r="O94" i="13" s="1"/>
  <c r="L290" i="18"/>
  <c r="O290" i="18" s="1"/>
  <c r="L329" i="2"/>
  <c r="O329" i="2" s="1"/>
  <c r="O68" i="8"/>
  <c r="N8" i="16"/>
  <c r="L329" i="20"/>
  <c r="O329" i="20" s="1"/>
  <c r="L220" i="19"/>
  <c r="O220" i="19" s="1"/>
  <c r="P222" i="1"/>
  <c r="L66" i="4"/>
  <c r="O66" i="4" s="1"/>
  <c r="L271" i="3"/>
  <c r="O271" i="3" s="1"/>
  <c r="L66" i="16"/>
  <c r="O66" i="16" s="1"/>
  <c r="O142" i="18"/>
  <c r="L271" i="10"/>
  <c r="O271" i="10" s="1"/>
  <c r="L140" i="21"/>
  <c r="O140" i="21" s="1"/>
  <c r="O41" i="3"/>
  <c r="N37" i="12"/>
  <c r="M290" i="2"/>
  <c r="P290" i="2" s="1"/>
  <c r="M292" i="1"/>
  <c r="P292" i="1" s="1"/>
  <c r="O96" i="3"/>
  <c r="L271" i="14"/>
  <c r="O271" i="14" s="1"/>
  <c r="L250" i="12"/>
  <c r="O250" i="12" s="1"/>
  <c r="O53" i="17"/>
  <c r="O331" i="18"/>
  <c r="L118" i="19"/>
  <c r="O118" i="19" s="1"/>
  <c r="O34" i="1"/>
  <c r="O43" i="3"/>
  <c r="L66" i="22"/>
  <c r="O66" i="22" s="1"/>
  <c r="L12" i="17"/>
  <c r="O12" i="17" s="1"/>
  <c r="P331" i="16"/>
  <c r="L250" i="9"/>
  <c r="O250" i="9" s="1"/>
  <c r="O273" i="18"/>
  <c r="O96" i="21"/>
  <c r="M94" i="5"/>
  <c r="P94" i="5" s="1"/>
  <c r="L250" i="20"/>
  <c r="O250" i="20" s="1"/>
  <c r="L66" i="7"/>
  <c r="O66" i="7" s="1"/>
  <c r="O222" i="16"/>
  <c r="N37" i="18"/>
  <c r="N37" i="9"/>
  <c r="N8" i="14"/>
  <c r="M20" i="2"/>
  <c r="M18" i="2" s="1"/>
  <c r="P18" i="2" s="1"/>
  <c r="L12" i="6"/>
  <c r="O12" i="6" s="1"/>
  <c r="O220" i="18"/>
  <c r="O312" i="9"/>
  <c r="L94" i="7"/>
  <c r="O94" i="7" s="1"/>
  <c r="L118" i="3"/>
  <c r="O118" i="3" s="1"/>
  <c r="L310" i="20"/>
  <c r="O310" i="20" s="1"/>
  <c r="L220" i="7"/>
  <c r="O220" i="7" s="1"/>
  <c r="L271" i="13"/>
  <c r="O271" i="13" s="1"/>
  <c r="L290" i="8"/>
  <c r="O290" i="8" s="1"/>
  <c r="P20" i="8"/>
  <c r="O140" i="17"/>
  <c r="M16" i="2"/>
  <c r="P16" i="2" s="1"/>
  <c r="O273" i="5"/>
  <c r="O140" i="18"/>
  <c r="O292" i="14"/>
  <c r="L28" i="7"/>
  <c r="O28" i="7" s="1"/>
  <c r="L250" i="13"/>
  <c r="O250" i="13" s="1"/>
  <c r="L220" i="6"/>
  <c r="O220" i="6" s="1"/>
  <c r="L329" i="13"/>
  <c r="O329" i="13" s="1"/>
  <c r="L20" i="18"/>
  <c r="O20" i="18" s="1"/>
  <c r="L140" i="22"/>
  <c r="O140" i="22" s="1"/>
  <c r="O222" i="15"/>
  <c r="N37" i="11"/>
  <c r="N250" i="1"/>
  <c r="O220" i="21"/>
  <c r="O142" i="20"/>
  <c r="L220" i="22"/>
  <c r="O220" i="22" s="1"/>
  <c r="L271" i="9"/>
  <c r="O271" i="9" s="1"/>
  <c r="O329" i="6"/>
  <c r="O273" i="17"/>
  <c r="O68" i="5"/>
  <c r="L271" i="7"/>
  <c r="O271" i="7" s="1"/>
  <c r="L329" i="12"/>
  <c r="O329" i="12" s="1"/>
  <c r="L41" i="4"/>
  <c r="O41" i="4" s="1"/>
  <c r="L220" i="9"/>
  <c r="O220" i="9" s="1"/>
  <c r="L20" i="6"/>
  <c r="L18" i="6" s="1"/>
  <c r="O18" i="6" s="1"/>
  <c r="O43" i="17"/>
  <c r="P220" i="21"/>
  <c r="O331" i="6"/>
  <c r="L271" i="11"/>
  <c r="O271" i="11" s="1"/>
  <c r="O29" i="3"/>
  <c r="P41" i="11"/>
  <c r="O329" i="18"/>
  <c r="N8" i="11"/>
  <c r="L220" i="10"/>
  <c r="O220" i="10" s="1"/>
  <c r="L140" i="11"/>
  <c r="O140" i="11" s="1"/>
  <c r="O53" i="11"/>
  <c r="O53" i="4"/>
  <c r="L290" i="20"/>
  <c r="O290" i="20" s="1"/>
  <c r="L271" i="4"/>
  <c r="O271" i="4" s="1"/>
  <c r="L250" i="7"/>
  <c r="O250" i="7" s="1"/>
  <c r="L310" i="12"/>
  <c r="O310" i="12" s="1"/>
  <c r="N8" i="3"/>
  <c r="P140" i="6"/>
  <c r="O273" i="22"/>
  <c r="L271" i="22"/>
  <c r="O271" i="22" s="1"/>
  <c r="L20" i="19"/>
  <c r="L18" i="19" s="1"/>
  <c r="O18" i="19" s="1"/>
  <c r="O43" i="15"/>
  <c r="O41" i="15"/>
  <c r="O28" i="3"/>
  <c r="L140" i="15"/>
  <c r="O140" i="15" s="1"/>
  <c r="L12" i="19"/>
  <c r="O12" i="19" s="1"/>
  <c r="N8" i="8"/>
  <c r="L53" i="16"/>
  <c r="O53" i="16" s="1"/>
  <c r="O312" i="19"/>
  <c r="N20" i="1"/>
  <c r="N18" i="1" s="1"/>
  <c r="L271" i="19"/>
  <c r="O271" i="19" s="1"/>
  <c r="O273" i="19"/>
  <c r="L94" i="4"/>
  <c r="O94" i="4" s="1"/>
  <c r="L312" i="1"/>
  <c r="O312" i="1" s="1"/>
  <c r="N37" i="10"/>
  <c r="P94" i="2"/>
  <c r="N8" i="22"/>
  <c r="P41" i="15"/>
  <c r="P26" i="16"/>
  <c r="M16" i="16"/>
  <c r="P16" i="16" s="1"/>
  <c r="L142" i="1"/>
  <c r="O142" i="1" s="1"/>
  <c r="O43" i="2"/>
  <c r="L53" i="6"/>
  <c r="O53" i="6" s="1"/>
  <c r="P20" i="6"/>
  <c r="M20" i="16"/>
  <c r="P20" i="16" s="1"/>
  <c r="O28" i="16"/>
  <c r="O43" i="21"/>
  <c r="L41" i="21"/>
  <c r="O41" i="21" s="1"/>
  <c r="N11" i="1"/>
  <c r="N9" i="1" s="1"/>
  <c r="L250" i="17"/>
  <c r="O250" i="17" s="1"/>
  <c r="N28" i="1"/>
  <c r="N37" i="15"/>
  <c r="L20" i="9"/>
  <c r="O20" i="9" s="1"/>
  <c r="M220" i="1"/>
  <c r="L292" i="1"/>
  <c r="O292" i="1" s="1"/>
  <c r="L12" i="9"/>
  <c r="O12" i="9" s="1"/>
  <c r="O120" i="13"/>
  <c r="L118" i="13"/>
  <c r="O118" i="13" s="1"/>
  <c r="P26" i="6"/>
  <c r="L12" i="18"/>
  <c r="L10" i="18" s="1"/>
  <c r="O10" i="18" s="1"/>
  <c r="O120" i="15"/>
  <c r="L118" i="15"/>
  <c r="O118" i="15" s="1"/>
  <c r="O292" i="3"/>
  <c r="L290" i="3"/>
  <c r="O290" i="3" s="1"/>
  <c r="L20" i="10"/>
  <c r="L18" i="10" s="1"/>
  <c r="O18" i="10" s="1"/>
  <c r="M20" i="5"/>
  <c r="N8" i="13"/>
  <c r="M37" i="13"/>
  <c r="O22" i="2"/>
  <c r="M16" i="5"/>
  <c r="P16" i="5" s="1"/>
  <c r="M41" i="7"/>
  <c r="P41" i="7" s="1"/>
  <c r="L20" i="11"/>
  <c r="L18" i="11" s="1"/>
  <c r="O18" i="11" s="1"/>
  <c r="N12" i="1"/>
  <c r="N10" i="1" s="1"/>
  <c r="N8" i="1" s="1"/>
  <c r="L220" i="8"/>
  <c r="O220" i="8" s="1"/>
  <c r="P142" i="1"/>
  <c r="N8" i="9"/>
  <c r="P20" i="18"/>
  <c r="L12" i="11"/>
  <c r="L10" i="11" s="1"/>
  <c r="O10" i="11" s="1"/>
  <c r="L43" i="1"/>
  <c r="O43" i="1" s="1"/>
  <c r="N140" i="1"/>
  <c r="M37" i="22"/>
  <c r="P37" i="22" s="1"/>
  <c r="N37" i="19"/>
  <c r="P12" i="10"/>
  <c r="P12" i="12"/>
  <c r="O250" i="19"/>
  <c r="P250" i="19"/>
  <c r="N66" i="1"/>
  <c r="O312" i="13"/>
  <c r="L310" i="13"/>
  <c r="O310" i="13" s="1"/>
  <c r="L28" i="2"/>
  <c r="O28" i="2" s="1"/>
  <c r="M331" i="1"/>
  <c r="P331" i="1" s="1"/>
  <c r="M37" i="9"/>
  <c r="L252" i="1"/>
  <c r="O252" i="1" s="1"/>
  <c r="L12" i="10"/>
  <c r="L10" i="10" s="1"/>
  <c r="O10" i="10" s="1"/>
  <c r="O22" i="22"/>
  <c r="L140" i="7"/>
  <c r="O140" i="7" s="1"/>
  <c r="O142" i="7"/>
  <c r="L290" i="17"/>
  <c r="O290" i="17" s="1"/>
  <c r="O292" i="17"/>
  <c r="L120" i="1"/>
  <c r="O120" i="1" s="1"/>
  <c r="L250" i="18"/>
  <c r="O250" i="18" s="1"/>
  <c r="L14" i="1"/>
  <c r="O14" i="1" s="1"/>
  <c r="N37" i="17"/>
  <c r="O331" i="5"/>
  <c r="L329" i="5"/>
  <c r="O329" i="5" s="1"/>
  <c r="M37" i="11"/>
  <c r="L118" i="5"/>
  <c r="O118" i="5" s="1"/>
  <c r="N8" i="18"/>
  <c r="M18" i="8"/>
  <c r="P18" i="8" s="1"/>
  <c r="L20" i="22"/>
  <c r="L18" i="22" s="1"/>
  <c r="O18" i="22" s="1"/>
  <c r="N8" i="5"/>
  <c r="L20" i="2"/>
  <c r="O20" i="2" s="1"/>
  <c r="L250" i="15"/>
  <c r="O250" i="15" s="1"/>
  <c r="O252" i="15"/>
  <c r="O312" i="17"/>
  <c r="L310" i="17"/>
  <c r="O310" i="17" s="1"/>
  <c r="P20" i="15"/>
  <c r="L55" i="1"/>
  <c r="O55" i="1" s="1"/>
  <c r="L118" i="12"/>
  <c r="O118" i="12" s="1"/>
  <c r="O120" i="12"/>
  <c r="L30" i="1"/>
  <c r="O30" i="1" s="1"/>
  <c r="O32" i="1"/>
  <c r="N8" i="15"/>
  <c r="L53" i="13"/>
  <c r="O53" i="13" s="1"/>
  <c r="O55" i="13"/>
  <c r="O120" i="4"/>
  <c r="L118" i="4"/>
  <c r="O118" i="4" s="1"/>
  <c r="O142" i="19"/>
  <c r="L140" i="19"/>
  <c r="O140" i="19" s="1"/>
  <c r="P252" i="1"/>
  <c r="P220" i="17"/>
  <c r="O96" i="6"/>
  <c r="L94" i="6"/>
  <c r="O94" i="6" s="1"/>
  <c r="O292" i="11"/>
  <c r="L290" i="11"/>
  <c r="O290" i="11" s="1"/>
  <c r="O222" i="11"/>
  <c r="L220" i="11"/>
  <c r="O220" i="11" s="1"/>
  <c r="M118" i="1"/>
  <c r="N8" i="4"/>
  <c r="O120" i="20"/>
  <c r="L118" i="20"/>
  <c r="O118" i="20" s="1"/>
  <c r="M94" i="12"/>
  <c r="P96" i="12"/>
  <c r="L118" i="9"/>
  <c r="O118" i="9" s="1"/>
  <c r="O120" i="9"/>
  <c r="O252" i="22"/>
  <c r="L250" i="22"/>
  <c r="O250" i="22" s="1"/>
  <c r="M16" i="12"/>
  <c r="P26" i="12"/>
  <c r="M20" i="12"/>
  <c r="N329" i="1"/>
  <c r="P329" i="6"/>
  <c r="N10" i="20"/>
  <c r="N8" i="20" s="1"/>
  <c r="P18" i="9"/>
  <c r="L271" i="21"/>
  <c r="O271" i="21" s="1"/>
  <c r="O273" i="21"/>
  <c r="O140" i="10"/>
  <c r="P140" i="10"/>
  <c r="P20" i="17"/>
  <c r="M18" i="17"/>
  <c r="P18" i="17" s="1"/>
  <c r="O20" i="4"/>
  <c r="L18" i="4"/>
  <c r="O18" i="4" s="1"/>
  <c r="L10" i="4"/>
  <c r="O10" i="4" s="1"/>
  <c r="O12" i="4"/>
  <c r="O9" i="3"/>
  <c r="P41" i="2"/>
  <c r="O22" i="7"/>
  <c r="L12" i="7"/>
  <c r="L20" i="7"/>
  <c r="O329" i="3"/>
  <c r="O22" i="14"/>
  <c r="L12" i="14"/>
  <c r="L20" i="14"/>
  <c r="O68" i="18"/>
  <c r="L66" i="18"/>
  <c r="O66" i="18" s="1"/>
  <c r="P20" i="21"/>
  <c r="M18" i="21"/>
  <c r="P18" i="21" s="1"/>
  <c r="L28" i="21"/>
  <c r="O28" i="21" s="1"/>
  <c r="O29" i="21"/>
  <c r="O140" i="2"/>
  <c r="O41" i="13"/>
  <c r="O11" i="14"/>
  <c r="L9" i="14"/>
  <c r="P26" i="15"/>
  <c r="M16" i="15"/>
  <c r="P16" i="15" s="1"/>
  <c r="O22" i="12"/>
  <c r="L12" i="12"/>
  <c r="L20" i="12"/>
  <c r="L20" i="13"/>
  <c r="O22" i="13"/>
  <c r="L12" i="13"/>
  <c r="P12" i="17"/>
  <c r="L41" i="5"/>
  <c r="O43" i="5"/>
  <c r="M12" i="1"/>
  <c r="P22" i="1"/>
  <c r="P9" i="4"/>
  <c r="O29" i="8"/>
  <c r="L28" i="8"/>
  <c r="O28" i="8" s="1"/>
  <c r="P20" i="11"/>
  <c r="P26" i="19"/>
  <c r="M16" i="19"/>
  <c r="P16" i="19" s="1"/>
  <c r="O29" i="22"/>
  <c r="L28" i="22"/>
  <c r="O28" i="22" s="1"/>
  <c r="O96" i="5"/>
  <c r="L94" i="5"/>
  <c r="O94" i="5" s="1"/>
  <c r="O11" i="6"/>
  <c r="L9" i="6"/>
  <c r="P9" i="19"/>
  <c r="O31" i="1"/>
  <c r="L29" i="1"/>
  <c r="P12" i="4"/>
  <c r="P12" i="2"/>
  <c r="P26" i="4"/>
  <c r="M16" i="4"/>
  <c r="P16" i="4" s="1"/>
  <c r="P9" i="17"/>
  <c r="P26" i="21"/>
  <c r="M16" i="21"/>
  <c r="P16" i="21" s="1"/>
  <c r="O43" i="14"/>
  <c r="L41" i="14"/>
  <c r="L20" i="16"/>
  <c r="O22" i="16"/>
  <c r="L12" i="16"/>
  <c r="P9" i="20"/>
  <c r="P9" i="5"/>
  <c r="O96" i="11"/>
  <c r="L94" i="11"/>
  <c r="O94" i="11" s="1"/>
  <c r="O22" i="15"/>
  <c r="L12" i="15"/>
  <c r="L20" i="15"/>
  <c r="L9" i="19"/>
  <c r="O11" i="19"/>
  <c r="O638" i="20"/>
  <c r="L636" i="20"/>
  <c r="O636" i="20" s="1"/>
  <c r="O9" i="2"/>
  <c r="P9" i="3"/>
  <c r="M37" i="6"/>
  <c r="O22" i="8"/>
  <c r="L12" i="8"/>
  <c r="L20" i="8"/>
  <c r="L9" i="12"/>
  <c r="O11" i="12"/>
  <c r="O68" i="15"/>
  <c r="L66" i="15"/>
  <c r="O66" i="15" s="1"/>
  <c r="O96" i="17"/>
  <c r="L94" i="17"/>
  <c r="M18" i="6"/>
  <c r="P18" i="6" s="1"/>
  <c r="M53" i="1"/>
  <c r="P53" i="1" s="1"/>
  <c r="P55" i="1"/>
  <c r="M10" i="11"/>
  <c r="P10" i="11" s="1"/>
  <c r="P12" i="11"/>
  <c r="O11" i="13"/>
  <c r="L9" i="13"/>
  <c r="P66" i="16"/>
  <c r="M37" i="16"/>
  <c r="P37" i="16" s="1"/>
  <c r="O638" i="18"/>
  <c r="L636" i="18"/>
  <c r="O636" i="18" s="1"/>
  <c r="M310" i="1"/>
  <c r="P310" i="1" s="1"/>
  <c r="O638" i="6"/>
  <c r="L636" i="6"/>
  <c r="O636" i="6" s="1"/>
  <c r="O41" i="2"/>
  <c r="L28" i="6"/>
  <c r="O28" i="6" s="1"/>
  <c r="O29" i="6"/>
  <c r="P41" i="4"/>
  <c r="P9" i="11"/>
  <c r="P331" i="8"/>
  <c r="M329" i="8"/>
  <c r="P9" i="14"/>
  <c r="O29" i="20"/>
  <c r="L28" i="20"/>
  <c r="O28" i="20" s="1"/>
  <c r="O273" i="2"/>
  <c r="L271" i="2"/>
  <c r="L273" i="1"/>
  <c r="O273" i="1" s="1"/>
  <c r="O11" i="5"/>
  <c r="L9" i="5"/>
  <c r="M140" i="1"/>
  <c r="O638" i="8"/>
  <c r="L636" i="8"/>
  <c r="O636" i="8" s="1"/>
  <c r="N638" i="1"/>
  <c r="O640" i="1"/>
  <c r="P273" i="1"/>
  <c r="N271" i="1"/>
  <c r="L41" i="7"/>
  <c r="O43" i="7"/>
  <c r="O19" i="1"/>
  <c r="O11" i="1"/>
  <c r="L9" i="1"/>
  <c r="P20" i="14"/>
  <c r="M18" i="14"/>
  <c r="P18" i="14" s="1"/>
  <c r="P9" i="2"/>
  <c r="P329" i="3"/>
  <c r="P26" i="3"/>
  <c r="M16" i="3"/>
  <c r="P16" i="3" s="1"/>
  <c r="M271" i="1"/>
  <c r="L636" i="2"/>
  <c r="O636" i="2" s="1"/>
  <c r="O638" i="2"/>
  <c r="O638" i="14"/>
  <c r="L636" i="14"/>
  <c r="O636" i="14" s="1"/>
  <c r="M66" i="21"/>
  <c r="P68" i="21"/>
  <c r="O220" i="3"/>
  <c r="P220" i="3"/>
  <c r="O43" i="8"/>
  <c r="L41" i="8"/>
  <c r="O11" i="9"/>
  <c r="L9" i="9"/>
  <c r="M16" i="10"/>
  <c r="P26" i="10"/>
  <c r="M20" i="10"/>
  <c r="O55" i="8"/>
  <c r="L53" i="8"/>
  <c r="O53" i="8" s="1"/>
  <c r="O11" i="8"/>
  <c r="L9" i="8"/>
  <c r="L636" i="10"/>
  <c r="O636" i="10" s="1"/>
  <c r="O638" i="10"/>
  <c r="O9" i="11"/>
  <c r="L28" i="13"/>
  <c r="O28" i="13" s="1"/>
  <c r="O29" i="13"/>
  <c r="P310" i="2"/>
  <c r="L96" i="1"/>
  <c r="O96" i="1" s="1"/>
  <c r="P12" i="8"/>
  <c r="M16" i="8"/>
  <c r="P16" i="8" s="1"/>
  <c r="P26" i="8"/>
  <c r="O11" i="17"/>
  <c r="L9" i="17"/>
  <c r="L9" i="20"/>
  <c r="O11" i="20"/>
  <c r="O29" i="5"/>
  <c r="L28" i="5"/>
  <c r="O28" i="5" s="1"/>
  <c r="M37" i="3"/>
  <c r="P12" i="13"/>
  <c r="M10" i="13"/>
  <c r="N8" i="21"/>
  <c r="N37" i="2"/>
  <c r="O9" i="15"/>
  <c r="O310" i="2"/>
  <c r="P41" i="14"/>
  <c r="M37" i="14"/>
  <c r="P37" i="14" s="1"/>
  <c r="O222" i="13"/>
  <c r="L220" i="13"/>
  <c r="O220" i="13" s="1"/>
  <c r="M37" i="18"/>
  <c r="P41" i="18"/>
  <c r="N636" i="17"/>
  <c r="O636" i="17" s="1"/>
  <c r="O638" i="17"/>
  <c r="O638" i="21"/>
  <c r="L636" i="21"/>
  <c r="O636" i="21" s="1"/>
  <c r="P9" i="21"/>
  <c r="P9" i="6"/>
  <c r="L28" i="9"/>
  <c r="O28" i="9" s="1"/>
  <c r="O29" i="9"/>
  <c r="P12" i="18"/>
  <c r="M10" i="18"/>
  <c r="O29" i="4"/>
  <c r="L28" i="4"/>
  <c r="O28" i="4" s="1"/>
  <c r="O273" i="16"/>
  <c r="L271" i="16"/>
  <c r="O271" i="16" s="1"/>
  <c r="O11" i="18"/>
  <c r="L9" i="18"/>
  <c r="O9" i="10"/>
  <c r="L28" i="17"/>
  <c r="O28" i="17" s="1"/>
  <c r="O29" i="17"/>
  <c r="O68" i="3"/>
  <c r="L66" i="3"/>
  <c r="O66" i="3" s="1"/>
  <c r="N220" i="1"/>
  <c r="P220" i="2"/>
  <c r="O220" i="2"/>
  <c r="N8" i="6"/>
  <c r="P20" i="13"/>
  <c r="M18" i="13"/>
  <c r="P18" i="13" s="1"/>
  <c r="N37" i="3"/>
  <c r="L22" i="1"/>
  <c r="P331" i="5"/>
  <c r="M329" i="5"/>
  <c r="P329" i="5" s="1"/>
  <c r="O638" i="5"/>
  <c r="L636" i="5"/>
  <c r="O636" i="5" s="1"/>
  <c r="P12" i="3"/>
  <c r="P12" i="15"/>
  <c r="P26" i="17"/>
  <c r="M16" i="17"/>
  <c r="P16" i="17" s="1"/>
  <c r="O29" i="14"/>
  <c r="L28" i="14"/>
  <c r="O28" i="14" s="1"/>
  <c r="N8" i="17"/>
  <c r="O22" i="20"/>
  <c r="L12" i="20"/>
  <c r="L20" i="20"/>
  <c r="O55" i="18"/>
  <c r="L53" i="18"/>
  <c r="O68" i="19"/>
  <c r="L66" i="19"/>
  <c r="O66" i="19" s="1"/>
  <c r="P331" i="20"/>
  <c r="M329" i="20"/>
  <c r="P329" i="20" s="1"/>
  <c r="L20" i="21"/>
  <c r="O22" i="21"/>
  <c r="L12" i="21"/>
  <c r="M16" i="22"/>
  <c r="P16" i="22" s="1"/>
  <c r="P26" i="22"/>
  <c r="P12" i="7"/>
  <c r="M10" i="7"/>
  <c r="P10" i="7" s="1"/>
  <c r="O638" i="12"/>
  <c r="L636" i="12"/>
  <c r="O636" i="12" s="1"/>
  <c r="L16" i="1"/>
  <c r="O16" i="1" s="1"/>
  <c r="O26" i="1"/>
  <c r="P12" i="22"/>
  <c r="M250" i="1"/>
  <c r="O290" i="5"/>
  <c r="P20" i="9"/>
  <c r="P9" i="9"/>
  <c r="O312" i="10"/>
  <c r="L310" i="10"/>
  <c r="M37" i="10"/>
  <c r="P41" i="10"/>
  <c r="O29" i="12"/>
  <c r="L28" i="12"/>
  <c r="O28" i="12" s="1"/>
  <c r="P9" i="15"/>
  <c r="P312" i="1"/>
  <c r="O273" i="6"/>
  <c r="L271" i="6"/>
  <c r="O271" i="6" s="1"/>
  <c r="M43" i="1"/>
  <c r="P49" i="1"/>
  <c r="M26" i="1"/>
  <c r="M20" i="19"/>
  <c r="O12" i="22"/>
  <c r="L329" i="10"/>
  <c r="O329" i="10" s="1"/>
  <c r="O331" i="10"/>
  <c r="P12" i="14"/>
  <c r="M10" i="14"/>
  <c r="P10" i="14" s="1"/>
  <c r="N118" i="1"/>
  <c r="N37" i="6"/>
  <c r="O68" i="6"/>
  <c r="L66" i="6"/>
  <c r="P41" i="5"/>
  <c r="L9" i="21"/>
  <c r="O11" i="21"/>
  <c r="P120" i="1"/>
  <c r="M20" i="3"/>
  <c r="O68" i="2"/>
  <c r="L68" i="1"/>
  <c r="O68" i="1" s="1"/>
  <c r="L66" i="2"/>
  <c r="L222" i="1"/>
  <c r="O222" i="1" s="1"/>
  <c r="P68" i="17"/>
  <c r="M66" i="17"/>
  <c r="O638" i="15"/>
  <c r="L636" i="15"/>
  <c r="O636" i="15" s="1"/>
  <c r="P12" i="21"/>
  <c r="P9" i="7"/>
  <c r="L28" i="11"/>
  <c r="O28" i="11" s="1"/>
  <c r="O29" i="11"/>
  <c r="P331" i="15"/>
  <c r="M329" i="15"/>
  <c r="O55" i="15"/>
  <c r="L53" i="15"/>
  <c r="L94" i="20"/>
  <c r="O96" i="20"/>
  <c r="M16" i="20"/>
  <c r="P26" i="20"/>
  <c r="M20" i="20"/>
  <c r="O55" i="21"/>
  <c r="L53" i="21"/>
  <c r="O53" i="3"/>
  <c r="P12" i="5"/>
  <c r="P20" i="7"/>
  <c r="M18" i="7"/>
  <c r="P18" i="7" s="1"/>
  <c r="P12" i="6"/>
  <c r="O638" i="7"/>
  <c r="L636" i="7"/>
  <c r="O636" i="7" s="1"/>
  <c r="O29" i="10"/>
  <c r="L28" i="10"/>
  <c r="O28" i="10" s="1"/>
  <c r="P12" i="16"/>
  <c r="O29" i="15"/>
  <c r="L28" i="15"/>
  <c r="O28" i="15" s="1"/>
  <c r="O29" i="19"/>
  <c r="L28" i="19"/>
  <c r="O28" i="19" s="1"/>
  <c r="O11" i="4"/>
  <c r="L9" i="4"/>
  <c r="L20" i="3"/>
  <c r="O22" i="3"/>
  <c r="L12" i="3"/>
  <c r="O22" i="5"/>
  <c r="L12" i="5"/>
  <c r="L20" i="5"/>
  <c r="M20" i="22"/>
  <c r="P9" i="12"/>
  <c r="O29" i="18"/>
  <c r="L28" i="18"/>
  <c r="O28" i="18" s="1"/>
  <c r="M18" i="18"/>
  <c r="P18" i="18" s="1"/>
  <c r="P331" i="19"/>
  <c r="M329" i="19"/>
  <c r="L9" i="22"/>
  <c r="O11" i="22"/>
  <c r="L331" i="1"/>
  <c r="O331" i="1" s="1"/>
  <c r="M68" i="1"/>
  <c r="P68" i="1" s="1"/>
  <c r="O638" i="3"/>
  <c r="L636" i="3"/>
  <c r="O636" i="3" s="1"/>
  <c r="P12" i="9"/>
  <c r="M10" i="9"/>
  <c r="P10" i="9" s="1"/>
  <c r="O55" i="12"/>
  <c r="L53" i="12"/>
  <c r="O68" i="13"/>
  <c r="L66" i="13"/>
  <c r="O66" i="13" s="1"/>
  <c r="P41" i="20"/>
  <c r="P9" i="1"/>
  <c r="M18" i="4"/>
  <c r="P18" i="4" s="1"/>
  <c r="P20" i="4"/>
  <c r="P96" i="4"/>
  <c r="M94" i="4"/>
  <c r="M96" i="1"/>
  <c r="P96" i="1" s="1"/>
  <c r="O638" i="4"/>
  <c r="L636" i="4"/>
  <c r="O636" i="4" s="1"/>
  <c r="M18" i="11"/>
  <c r="P18" i="11" s="1"/>
  <c r="O638" i="11"/>
  <c r="L636" i="11"/>
  <c r="O636" i="11" s="1"/>
  <c r="M18" i="15"/>
  <c r="P18" i="15" s="1"/>
  <c r="P12" i="19"/>
  <c r="L10" i="22"/>
  <c r="O10" i="22" s="1"/>
  <c r="O12" i="2"/>
  <c r="L10" i="2"/>
  <c r="O10" i="2" s="1"/>
  <c r="L13" i="1"/>
  <c r="O13" i="1" s="1"/>
  <c r="M10" i="6" l="1"/>
  <c r="P10" i="6" s="1"/>
  <c r="M37" i="2"/>
  <c r="P37" i="2" s="1"/>
  <c r="O20" i="17"/>
  <c r="P20" i="2"/>
  <c r="P37" i="13"/>
  <c r="O20" i="19"/>
  <c r="L10" i="17"/>
  <c r="O10" i="17" s="1"/>
  <c r="M10" i="5"/>
  <c r="P10" i="5" s="1"/>
  <c r="P37" i="9"/>
  <c r="M290" i="1"/>
  <c r="P290" i="1" s="1"/>
  <c r="P37" i="11"/>
  <c r="M10" i="15"/>
  <c r="P10" i="15" s="1"/>
  <c r="O20" i="22"/>
  <c r="P37" i="18"/>
  <c r="L18" i="9"/>
  <c r="O18" i="9" s="1"/>
  <c r="M18" i="16"/>
  <c r="P18" i="16" s="1"/>
  <c r="M10" i="19"/>
  <c r="P10" i="19" s="1"/>
  <c r="L10" i="6"/>
  <c r="O10" i="6" s="1"/>
  <c r="O12" i="11"/>
  <c r="P250" i="1"/>
  <c r="P220" i="1"/>
  <c r="L18" i="2"/>
  <c r="O18" i="2" s="1"/>
  <c r="L18" i="18"/>
  <c r="O18" i="18" s="1"/>
  <c r="M10" i="21"/>
  <c r="P10" i="21" s="1"/>
  <c r="O20" i="11"/>
  <c r="O20" i="6"/>
  <c r="L53" i="1"/>
  <c r="O53" i="1" s="1"/>
  <c r="M10" i="16"/>
  <c r="P10" i="16" s="1"/>
  <c r="M10" i="2"/>
  <c r="P10" i="2" s="1"/>
  <c r="L10" i="9"/>
  <c r="O10" i="9" s="1"/>
  <c r="P37" i="10"/>
  <c r="L10" i="19"/>
  <c r="O10" i="19" s="1"/>
  <c r="L37" i="3"/>
  <c r="O37" i="3" s="1"/>
  <c r="O20" i="10"/>
  <c r="L41" i="1"/>
  <c r="O41" i="1" s="1"/>
  <c r="M8" i="7"/>
  <c r="P8" i="7" s="1"/>
  <c r="M37" i="20"/>
  <c r="P37" i="20" s="1"/>
  <c r="L310" i="1"/>
  <c r="O310" i="1" s="1"/>
  <c r="O12" i="10"/>
  <c r="M37" i="7"/>
  <c r="P37" i="7" s="1"/>
  <c r="L8" i="11"/>
  <c r="O8" i="11" s="1"/>
  <c r="P20" i="5"/>
  <c r="M18" i="5"/>
  <c r="P18" i="5" s="1"/>
  <c r="L37" i="4"/>
  <c r="O37" i="4" s="1"/>
  <c r="O12" i="18"/>
  <c r="M10" i="3"/>
  <c r="P10" i="3" s="1"/>
  <c r="M10" i="4"/>
  <c r="P10" i="4" s="1"/>
  <c r="P140" i="1"/>
  <c r="M8" i="11"/>
  <c r="P8" i="11" s="1"/>
  <c r="L140" i="1"/>
  <c r="O140" i="1" s="1"/>
  <c r="L37" i="9"/>
  <c r="O37" i="9" s="1"/>
  <c r="L37" i="19"/>
  <c r="O37" i="19" s="1"/>
  <c r="M37" i="5"/>
  <c r="P37" i="5" s="1"/>
  <c r="L118" i="1"/>
  <c r="O118" i="1" s="1"/>
  <c r="L290" i="1"/>
  <c r="O290" i="1" s="1"/>
  <c r="L250" i="1"/>
  <c r="O250" i="1" s="1"/>
  <c r="L8" i="10"/>
  <c r="O8" i="10" s="1"/>
  <c r="P20" i="12"/>
  <c r="M18" i="12"/>
  <c r="P18" i="12" s="1"/>
  <c r="P16" i="12"/>
  <c r="M10" i="12"/>
  <c r="P94" i="12"/>
  <c r="M37" i="12"/>
  <c r="P37" i="12" s="1"/>
  <c r="L37" i="11"/>
  <c r="O37" i="11" s="1"/>
  <c r="M10" i="22"/>
  <c r="P10" i="22" s="1"/>
  <c r="N37" i="1"/>
  <c r="L37" i="22"/>
  <c r="O37" i="22" s="1"/>
  <c r="P94" i="4"/>
  <c r="M94" i="1"/>
  <c r="P94" i="1" s="1"/>
  <c r="L8" i="22"/>
  <c r="O8" i="22" s="1"/>
  <c r="O9" i="22"/>
  <c r="O53" i="21"/>
  <c r="L37" i="21"/>
  <c r="O37" i="21" s="1"/>
  <c r="O66" i="2"/>
  <c r="L66" i="1"/>
  <c r="O66" i="1" s="1"/>
  <c r="O9" i="21"/>
  <c r="P20" i="19"/>
  <c r="M18" i="19"/>
  <c r="P18" i="19" s="1"/>
  <c r="M8" i="9"/>
  <c r="P8" i="9" s="1"/>
  <c r="O12" i="21"/>
  <c r="L10" i="21"/>
  <c r="O10" i="21" s="1"/>
  <c r="O9" i="20"/>
  <c r="L37" i="8"/>
  <c r="O37" i="8" s="1"/>
  <c r="O41" i="8"/>
  <c r="P329" i="8"/>
  <c r="M37" i="8"/>
  <c r="P37" i="8" s="1"/>
  <c r="P118" i="1"/>
  <c r="L37" i="16"/>
  <c r="O37" i="16" s="1"/>
  <c r="M8" i="19"/>
  <c r="P8" i="19" s="1"/>
  <c r="M10" i="17"/>
  <c r="L10" i="12"/>
  <c r="O10" i="12" s="1"/>
  <c r="O12" i="12"/>
  <c r="L37" i="13"/>
  <c r="O37" i="13" s="1"/>
  <c r="L10" i="14"/>
  <c r="O10" i="14" s="1"/>
  <c r="O12" i="14"/>
  <c r="O12" i="7"/>
  <c r="L10" i="7"/>
  <c r="P26" i="1"/>
  <c r="M16" i="1"/>
  <c r="P16" i="1" s="1"/>
  <c r="O53" i="18"/>
  <c r="L37" i="18"/>
  <c r="O37" i="18" s="1"/>
  <c r="O9" i="18"/>
  <c r="L8" i="18"/>
  <c r="O8" i="18" s="1"/>
  <c r="M8" i="6"/>
  <c r="P8" i="6" s="1"/>
  <c r="O9" i="8"/>
  <c r="P20" i="10"/>
  <c r="M18" i="10"/>
  <c r="P18" i="10" s="1"/>
  <c r="O9" i="13"/>
  <c r="O9" i="12"/>
  <c r="O9" i="19"/>
  <c r="O12" i="16"/>
  <c r="L10" i="16"/>
  <c r="L329" i="1"/>
  <c r="O329" i="1" s="1"/>
  <c r="P12" i="1"/>
  <c r="P329" i="19"/>
  <c r="M37" i="19"/>
  <c r="P37" i="19" s="1"/>
  <c r="O94" i="20"/>
  <c r="L37" i="20"/>
  <c r="O37" i="20" s="1"/>
  <c r="P20" i="20"/>
  <c r="M18" i="20"/>
  <c r="P18" i="20" s="1"/>
  <c r="O53" i="15"/>
  <c r="L37" i="15"/>
  <c r="O37" i="15" s="1"/>
  <c r="O20" i="21"/>
  <c r="L18" i="21"/>
  <c r="O18" i="21" s="1"/>
  <c r="P37" i="3"/>
  <c r="O41" i="7"/>
  <c r="L37" i="7"/>
  <c r="O37" i="7" s="1"/>
  <c r="O9" i="5"/>
  <c r="O94" i="17"/>
  <c r="L37" i="17"/>
  <c r="O37" i="17" s="1"/>
  <c r="O20" i="8"/>
  <c r="L18" i="8"/>
  <c r="O18" i="8" s="1"/>
  <c r="L8" i="2"/>
  <c r="O8" i="2" s="1"/>
  <c r="O20" i="15"/>
  <c r="L18" i="15"/>
  <c r="O18" i="15" s="1"/>
  <c r="M8" i="5"/>
  <c r="P8" i="5" s="1"/>
  <c r="O9" i="6"/>
  <c r="O12" i="13"/>
  <c r="L10" i="13"/>
  <c r="O10" i="13" s="1"/>
  <c r="L220" i="1"/>
  <c r="O220" i="1" s="1"/>
  <c r="O53" i="12"/>
  <c r="L37" i="12"/>
  <c r="O37" i="12" s="1"/>
  <c r="P20" i="22"/>
  <c r="M18" i="22"/>
  <c r="P18" i="22" s="1"/>
  <c r="O20" i="3"/>
  <c r="L18" i="3"/>
  <c r="O18" i="3" s="1"/>
  <c r="P66" i="17"/>
  <c r="M66" i="1"/>
  <c r="P66" i="1" s="1"/>
  <c r="M37" i="17"/>
  <c r="P37" i="17" s="1"/>
  <c r="P20" i="3"/>
  <c r="M18" i="3"/>
  <c r="P18" i="3" s="1"/>
  <c r="P43" i="1"/>
  <c r="M41" i="1"/>
  <c r="L18" i="20"/>
  <c r="O18" i="20" s="1"/>
  <c r="O20" i="20"/>
  <c r="L20" i="1"/>
  <c r="O22" i="1"/>
  <c r="L12" i="1"/>
  <c r="P10" i="18"/>
  <c r="M8" i="18"/>
  <c r="P8" i="18" s="1"/>
  <c r="O9" i="17"/>
  <c r="M10" i="8"/>
  <c r="P16" i="10"/>
  <c r="M10" i="10"/>
  <c r="M329" i="1"/>
  <c r="P329" i="1" s="1"/>
  <c r="O9" i="1"/>
  <c r="L37" i="2"/>
  <c r="O37" i="2" s="1"/>
  <c r="L10" i="8"/>
  <c r="O10" i="8" s="1"/>
  <c r="O12" i="8"/>
  <c r="O12" i="15"/>
  <c r="L10" i="15"/>
  <c r="O20" i="16"/>
  <c r="L18" i="16"/>
  <c r="O18" i="16" s="1"/>
  <c r="O12" i="3"/>
  <c r="L10" i="3"/>
  <c r="O20" i="5"/>
  <c r="L18" i="5"/>
  <c r="O18" i="5" s="1"/>
  <c r="O9" i="4"/>
  <c r="L8" i="4"/>
  <c r="O8" i="4" s="1"/>
  <c r="P16" i="20"/>
  <c r="M10" i="20"/>
  <c r="P329" i="15"/>
  <c r="M37" i="15"/>
  <c r="P37" i="15" s="1"/>
  <c r="O66" i="6"/>
  <c r="L37" i="6"/>
  <c r="O37" i="6" s="1"/>
  <c r="O310" i="10"/>
  <c r="L37" i="10"/>
  <c r="O37" i="10" s="1"/>
  <c r="L10" i="20"/>
  <c r="O10" i="20" s="1"/>
  <c r="O12" i="20"/>
  <c r="P10" i="13"/>
  <c r="M8" i="13"/>
  <c r="P8" i="13" s="1"/>
  <c r="O9" i="9"/>
  <c r="P271" i="1"/>
  <c r="N636" i="1"/>
  <c r="O636" i="1" s="1"/>
  <c r="O638" i="1"/>
  <c r="M8" i="14"/>
  <c r="P8" i="14" s="1"/>
  <c r="M37" i="4"/>
  <c r="P37" i="4" s="1"/>
  <c r="L37" i="14"/>
  <c r="O37" i="14" s="1"/>
  <c r="O41" i="14"/>
  <c r="L28" i="1"/>
  <c r="O28" i="1" s="1"/>
  <c r="O29" i="1"/>
  <c r="O41" i="5"/>
  <c r="L37" i="5"/>
  <c r="O37" i="5" s="1"/>
  <c r="O20" i="13"/>
  <c r="L18" i="13"/>
  <c r="O18" i="13" s="1"/>
  <c r="O9" i="14"/>
  <c r="O12" i="5"/>
  <c r="L10" i="5"/>
  <c r="O10" i="5" s="1"/>
  <c r="L94" i="1"/>
  <c r="O94" i="1" s="1"/>
  <c r="P66" i="21"/>
  <c r="M37" i="21"/>
  <c r="P37" i="21" s="1"/>
  <c r="L271" i="1"/>
  <c r="O271" i="1" s="1"/>
  <c r="O271" i="2"/>
  <c r="P37" i="6"/>
  <c r="M20" i="1"/>
  <c r="O20" i="12"/>
  <c r="L18" i="12"/>
  <c r="O18" i="12" s="1"/>
  <c r="O20" i="14"/>
  <c r="L18" i="14"/>
  <c r="O18" i="14" s="1"/>
  <c r="O20" i="7"/>
  <c r="L18" i="7"/>
  <c r="O18" i="7" s="1"/>
  <c r="L8" i="17" l="1"/>
  <c r="O8" i="17" s="1"/>
  <c r="L8" i="9"/>
  <c r="O8" i="9" s="1"/>
  <c r="L8" i="6"/>
  <c r="O8" i="6" s="1"/>
  <c r="M8" i="15"/>
  <c r="P8" i="15" s="1"/>
  <c r="M8" i="16"/>
  <c r="P8" i="16" s="1"/>
  <c r="M8" i="21"/>
  <c r="P8" i="21" s="1"/>
  <c r="M8" i="2"/>
  <c r="P8" i="2" s="1"/>
  <c r="L8" i="19"/>
  <c r="O8" i="19" s="1"/>
  <c r="M8" i="3"/>
  <c r="P8" i="3" s="1"/>
  <c r="M8" i="4"/>
  <c r="P8" i="4" s="1"/>
  <c r="L8" i="14"/>
  <c r="O8" i="14" s="1"/>
  <c r="M8" i="22"/>
  <c r="P8" i="22" s="1"/>
  <c r="M10" i="1"/>
  <c r="M8" i="1" s="1"/>
  <c r="P8" i="1" s="1"/>
  <c r="L8" i="12"/>
  <c r="O8" i="12" s="1"/>
  <c r="P10" i="12"/>
  <c r="M8" i="12"/>
  <c r="P8" i="12" s="1"/>
  <c r="O10" i="3"/>
  <c r="L8" i="3"/>
  <c r="O8" i="3" s="1"/>
  <c r="P10" i="10"/>
  <c r="M8" i="10"/>
  <c r="P8" i="10" s="1"/>
  <c r="P41" i="1"/>
  <c r="M37" i="1"/>
  <c r="P37" i="1" s="1"/>
  <c r="L8" i="13"/>
  <c r="O8" i="13" s="1"/>
  <c r="L8" i="20"/>
  <c r="O8" i="20" s="1"/>
  <c r="O12" i="1"/>
  <c r="L10" i="1"/>
  <c r="L37" i="1"/>
  <c r="O37" i="1" s="1"/>
  <c r="P10" i="8"/>
  <c r="M8" i="8"/>
  <c r="P8" i="8" s="1"/>
  <c r="L8" i="21"/>
  <c r="O8" i="21" s="1"/>
  <c r="P10" i="20"/>
  <c r="M8" i="20"/>
  <c r="P8" i="20" s="1"/>
  <c r="O20" i="1"/>
  <c r="L18" i="1"/>
  <c r="O18" i="1" s="1"/>
  <c r="L8" i="5"/>
  <c r="O8" i="5" s="1"/>
  <c r="O10" i="7"/>
  <c r="L8" i="7"/>
  <c r="O8" i="7" s="1"/>
  <c r="P20" i="1"/>
  <c r="M18" i="1"/>
  <c r="P18" i="1" s="1"/>
  <c r="O10" i="15"/>
  <c r="L8" i="15"/>
  <c r="O8" i="15" s="1"/>
  <c r="O10" i="16"/>
  <c r="L8" i="16"/>
  <c r="O8" i="16" s="1"/>
  <c r="L8" i="8"/>
  <c r="O8" i="8" s="1"/>
  <c r="P10" i="17"/>
  <c r="M8" i="17"/>
  <c r="P8" i="17" s="1"/>
  <c r="P10" i="1" l="1"/>
  <c r="O10" i="1"/>
  <c r="L8" i="1"/>
  <c r="O8" i="1" s="1"/>
</calcChain>
</file>

<file path=xl/sharedStrings.xml><?xml version="1.0" encoding="utf-8"?>
<sst xmlns="http://schemas.openxmlformats.org/spreadsheetml/2006/main" count="28952" uniqueCount="303">
  <si>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</si>
  <si>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</si>
  <si>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</si>
  <si>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</si>
  <si>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</si>
  <si>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</si>
  <si>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</si>
  <si>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</si>
  <si>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</si>
  <si>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</si>
  <si>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</si>
  <si>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</si>
  <si>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</si>
  <si>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</si>
  <si>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</si>
  <si>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</si>
  <si>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</si>
  <si>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</si>
  <si>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</si>
  <si>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</si>
  <si>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</si>
  <si>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</si>
  <si>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</si>
  <si>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</si>
  <si>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</si>
  <si>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</si>
  <si>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</si>
  <si>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</si>
  <si>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</si>
  <si>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</si>
  <si>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</si>
  <si>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</si>
  <si>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</si>
  <si>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</si>
  <si>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</si>
  <si>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</si>
  <si>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</si>
  <si>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</si>
  <si>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</si>
  <si>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</si>
  <si>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</si>
  <si>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</si>
  <si>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</si>
  <si>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</si>
  <si>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</si>
  <si>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</si>
  <si>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</si>
  <si>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</si>
  <si>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</si>
  <si>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</si>
  <si>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</si>
  <si>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</si>
  <si>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</si>
  <si>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</si>
  <si>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</si>
  <si>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</si>
  <si>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</si>
  <si>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</si>
  <si>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</si>
  <si>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</si>
  <si>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</si>
  <si>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</si>
  <si>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</si>
  <si>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</si>
  <si>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</si>
  <si>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</si>
  <si>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</si>
  <si>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</si>
  <si>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</si>
  <si>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</si>
  <si>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</si>
  <si>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</si>
  <si>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</si>
  <si>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</si>
  <si>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</si>
  <si>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</si>
  <si>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</si>
  <si>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</si>
  <si>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</si>
  <si>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</si>
  <si>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</si>
  <si>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</si>
  <si>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</si>
  <si>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</si>
  <si>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</si>
  <si>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</si>
  <si>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</si>
  <si>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</si>
  <si>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</si>
  <si>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</si>
  <si>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</si>
  <si>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</si>
  <si>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</si>
  <si>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</si>
  <si>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</si>
  <si>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</si>
  <si>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</si>
  <si>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</si>
  <si>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</si>
  <si>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</si>
  <si>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</si>
  <si>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</si>
  <si>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</si>
  <si>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</si>
  <si>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</si>
  <si>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</si>
  <si>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</si>
  <si>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</si>
  <si>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</si>
  <si>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</si>
  <si>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</si>
  <si>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</si>
  <si>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</si>
  <si>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</si>
  <si>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</si>
  <si>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</si>
  <si>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</si>
  <si>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</si>
  <si>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</si>
  <si>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</si>
  <si>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</si>
  <si>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</si>
  <si>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</si>
  <si>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</si>
  <si>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</si>
  <si>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</si>
  <si>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</si>
  <si>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</si>
  <si>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</si>
  <si>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</si>
  <si>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</si>
  <si>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</si>
  <si>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</si>
  <si>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</si>
  <si>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</si>
  <si>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</si>
  <si>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</si>
  <si>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</si>
  <si>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</si>
  <si>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</si>
  <si>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</si>
  <si>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</si>
  <si>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</si>
  <si>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</si>
  <si>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</si>
  <si>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</si>
  <si>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</si>
  <si>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</si>
  <si>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</si>
  <si>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</si>
  <si>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</si>
  <si>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</si>
  <si>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</si>
  <si>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</si>
  <si>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</si>
  <si>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</si>
  <si>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</si>
  <si>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</si>
  <si>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</si>
  <si>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</si>
  <si>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</si>
  <si>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</si>
  <si>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</si>
  <si>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</si>
  <si>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</si>
  <si>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</si>
  <si>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</si>
  <si>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</si>
  <si>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</si>
  <si>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</si>
  <si>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</si>
  <si>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</si>
  <si>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</si>
  <si>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</si>
  <si>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</si>
  <si>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</si>
  <si>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</si>
  <si>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</si>
  <si>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</si>
  <si>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</si>
  <si>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</si>
  <si>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</si>
  <si>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</si>
  <si>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</si>
  <si>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</si>
  <si>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</si>
  <si>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</si>
  <si>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</si>
  <si>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</si>
  <si>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</si>
  <si>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</si>
  <si>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</si>
  <si>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</si>
  <si>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</si>
  <si>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</si>
  <si>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</si>
  <si>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</si>
  <si>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</si>
  <si>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</si>
  <si>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</si>
  <si>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</si>
  <si>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</si>
  <si>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</si>
  <si>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</si>
  <si>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</si>
  <si>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</si>
  <si>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</si>
  <si>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</si>
  <si>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</si>
  <si>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</si>
  <si>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</si>
  <si>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</si>
  <si>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</si>
  <si>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</si>
  <si>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</si>
  <si>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</si>
  <si>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</si>
  <si>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</si>
  <si>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</si>
  <si>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</si>
  <si>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</si>
  <si>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</si>
  <si>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</si>
  <si>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</si>
  <si>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</si>
  <si>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</si>
  <si>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</si>
  <si>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</si>
  <si>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</si>
  <si>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</si>
  <si>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</si>
  <si>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</si>
  <si>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</si>
  <si>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</si>
  <si>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</si>
  <si>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</si>
  <si>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</si>
  <si>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</si>
  <si>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</si>
  <si>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</si>
  <si>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</si>
  <si>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</si>
  <si>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</si>
  <si>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</si>
  <si>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</si>
  <si>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</si>
  <si>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</si>
  <si>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</si>
  <si>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</si>
  <si>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</si>
  <si>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</si>
  <si>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</si>
  <si>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</si>
  <si>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</si>
  <si>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</si>
  <si>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</si>
  <si>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</si>
  <si>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</si>
  <si>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</si>
  <si>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</si>
  <si>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</si>
  <si>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</si>
  <si>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</si>
  <si>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</si>
  <si>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</si>
  <si>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</si>
  <si>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</si>
  <si>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</si>
  <si>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</si>
  <si>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</si>
  <si>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</si>
  <si>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</si>
  <si>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</si>
  <si>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</si>
  <si>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</si>
  <si>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</si>
  <si>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</si>
  <si>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</si>
  <si>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</si>
  <si>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</si>
  <si>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</si>
  <si>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</si>
  <si>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</si>
  <si>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</si>
  <si>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</si>
  <si>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</si>
  <si>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</si>
  <si>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</si>
  <si>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</si>
  <si>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</si>
  <si>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</si>
  <si>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</si>
  <si>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</si>
  <si>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</si>
  <si>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</si>
  <si>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</si>
  <si>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</si>
  <si>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</si>
  <si>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</si>
  <si>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</si>
  <si>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</si>
  <si>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</si>
  <si>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พฤษภาคม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</si>
</sst>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3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1" fontId="18" fillId="6" borderId="19" xfId="0" applyNumberFormat="1" applyFont="1" applyFill="1" applyBorder="1" applyAlignment="1">
      <alignment horizontal="right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8" fillId="15" borderId="18" xfId="0" applyFont="1" applyFill="1" applyBorder="1" applyAlignment="1"/>
    <xf numFmtId="0" fontId="3" fillId="0" borderId="20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8" xfId="0" applyFont="1" applyFill="1" applyBorder="1" applyAlignment="1"/>
    <xf numFmtId="0" fontId="19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8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7.54296875" bestFit="1" customWidth="1"/>
    <col min="10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1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ca="1">L9+L10</f>
        <v>93495269</v>
      </c>
      <c r="M8" s="23">
        <f ca="1">M9+M10</f>
        <v>54815500.039999999</v>
      </c>
      <c r="N8" s="23">
        <f ca="1">N9+N10</f>
        <v>59189344.950000003</v>
      </c>
      <c r="O8" s="22">
        <f t="shared" ref="O8:O16" ca="1" si="0">IF(L8&gt;0,N8*100/L8,0)</f>
        <v>63.307315528446686</v>
      </c>
      <c r="P8" s="22">
        <f t="shared" ref="P8:P16" ca="1" si="1">IF(M8&gt;0,N8*100/M8,0)</f>
        <v>107.97921191416354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93495269</v>
      </c>
      <c r="M10" s="30">
        <f t="shared" ca="1" si="2"/>
        <v>54815500.039999999</v>
      </c>
      <c r="N10" s="30">
        <f t="shared" ca="1" si="2"/>
        <v>59189344.950000003</v>
      </c>
      <c r="O10" s="29">
        <f t="shared" ca="1" si="0"/>
        <v>63.307315528446686</v>
      </c>
      <c r="P10" s="29">
        <f t="shared" ca="1" si="1"/>
        <v>107.97921191416354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83562819</v>
      </c>
      <c r="M12" s="38">
        <f t="shared" ca="1" si="3"/>
        <v>44883050.039999999</v>
      </c>
      <c r="N12" s="38">
        <f t="shared" ca="1" si="3"/>
        <v>49256894.950000003</v>
      </c>
      <c r="O12" s="38">
        <f t="shared" ca="1" si="0"/>
        <v>58.945946940827831</v>
      </c>
      <c r="P12" s="38">
        <f t="shared" ca="1" si="1"/>
        <v>109.74498147096065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36670500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46892319</v>
      </c>
      <c r="M14" s="38">
        <f t="shared" si="3"/>
        <v>0</v>
      </c>
      <c r="N14" s="38">
        <f t="shared" ca="1" si="3"/>
        <v>12974213.889999997</v>
      </c>
      <c r="O14" s="38">
        <f t="shared" ca="1" si="0"/>
        <v>27.668100376950857</v>
      </c>
      <c r="P14" s="38">
        <f t="shared" si="1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9932450</v>
      </c>
      <c r="M16" s="38">
        <f t="shared" ca="1" si="3"/>
        <v>9932450</v>
      </c>
      <c r="N16" s="38">
        <f t="shared" ca="1" si="3"/>
        <v>9932450</v>
      </c>
      <c r="O16" s="49">
        <f t="shared" ca="1" si="0"/>
        <v>100</v>
      </c>
      <c r="P16" s="49">
        <f t="shared" ca="1" si="1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ca="1">L19+L20</f>
        <v>65709850</v>
      </c>
      <c r="M18" s="23">
        <f ca="1">M19+M20</f>
        <v>54815500.039999999</v>
      </c>
      <c r="N18" s="23">
        <f ca="1">N19+N20</f>
        <v>46215131.060000002</v>
      </c>
      <c r="O18" s="22">
        <f t="shared" ref="O18:O26" ca="1" si="4">IF(L18&gt;0,N18*100/L18,0)</f>
        <v>70.332120770325915</v>
      </c>
      <c r="P18" s="22">
        <f t="shared" ref="P18:P26" ca="1" si="5">IF(M18&gt;0,N18*100/M18,0)</f>
        <v>84.310333803898288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65709850</v>
      </c>
      <c r="M20" s="30">
        <f t="shared" ca="1" si="6"/>
        <v>54815500.039999999</v>
      </c>
      <c r="N20" s="30">
        <f t="shared" ca="1" si="6"/>
        <v>46215131.060000002</v>
      </c>
      <c r="O20" s="29">
        <f t="shared" ca="1" si="4"/>
        <v>70.332120770325915</v>
      </c>
      <c r="P20" s="29">
        <f t="shared" ca="1" si="5"/>
        <v>84.310333803898288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55777400</v>
      </c>
      <c r="M22" s="41">
        <f t="shared" ca="1" si="7"/>
        <v>44883050.039999999</v>
      </c>
      <c r="N22" s="38">
        <f t="shared" ca="1" si="7"/>
        <v>36282681.060000002</v>
      </c>
      <c r="O22" s="38">
        <f t="shared" ca="1" si="4"/>
        <v>65.049071953873792</v>
      </c>
      <c r="P22" s="38">
        <f t="shared" ca="1" si="5"/>
        <v>80.838269742507904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36670500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19106900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9932450</v>
      </c>
      <c r="M26" s="49">
        <f t="shared" ca="1" si="7"/>
        <v>9932450</v>
      </c>
      <c r="N26" s="49">
        <f t="shared" ca="1" si="7"/>
        <v>9932450</v>
      </c>
      <c r="O26" s="49">
        <f t="shared" ca="1" si="4"/>
        <v>100</v>
      </c>
      <c r="P26" s="49">
        <f t="shared" ca="1" si="5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ca="1">L29+L30</f>
        <v>27785419</v>
      </c>
      <c r="M28" s="23">
        <f>M29+M30</f>
        <v>0</v>
      </c>
      <c r="N28" s="23">
        <f ca="1">N29+N30</f>
        <v>12974213.889999997</v>
      </c>
      <c r="O28" s="22">
        <f t="shared" ref="O28:O30" ca="1" si="8">IF(L28&gt;0,N28*100/L28,0)</f>
        <v>46.694325142262556</v>
      </c>
      <c r="P28" s="22">
        <f t="shared" ref="P28:P37" si="9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27785419</v>
      </c>
      <c r="M30" s="30">
        <f t="shared" si="10"/>
        <v>0</v>
      </c>
      <c r="N30" s="30">
        <f t="shared" ca="1" si="10"/>
        <v>12974213.889999997</v>
      </c>
      <c r="O30" s="29">
        <f t="shared" ca="1" si="8"/>
        <v>46.694325142262556</v>
      </c>
      <c r="P30" s="29">
        <f t="shared" si="9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27785419</v>
      </c>
      <c r="M32" s="38">
        <f t="shared" si="11"/>
        <v>0</v>
      </c>
      <c r="N32" s="38">
        <f t="shared" ca="1" si="11"/>
        <v>12974213.889999997</v>
      </c>
      <c r="O32" s="38">
        <f t="shared" ca="1" si="12"/>
        <v>46.694325142262556</v>
      </c>
      <c r="P32" s="38">
        <f t="shared" si="9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27785419</v>
      </c>
      <c r="M34" s="38">
        <f t="shared" si="11"/>
        <v>0</v>
      </c>
      <c r="N34" s="38">
        <f t="shared" ca="1" si="11"/>
        <v>12974213.889999997</v>
      </c>
      <c r="O34" s="38">
        <f t="shared" ca="1" si="12"/>
        <v>46.694325142262556</v>
      </c>
      <c r="P34" s="38">
        <f t="shared" si="9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65709850</v>
      </c>
      <c r="M37" s="54">
        <f t="shared" ca="1" si="13"/>
        <v>54815500.039999999</v>
      </c>
      <c r="N37" s="54">
        <f t="shared" ca="1" si="13"/>
        <v>46215131.06000001</v>
      </c>
      <c r="O37" s="55">
        <f t="shared" ca="1" si="12"/>
        <v>70.332120770325929</v>
      </c>
      <c r="P37" s="55">
        <f t="shared" ca="1" si="9"/>
        <v>84.310333803898303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ca="1">L42+L43</f>
        <v>16265300</v>
      </c>
      <c r="M41" s="78">
        <f ca="1">M42+M43</f>
        <v>13092465</v>
      </c>
      <c r="N41" s="78">
        <f ca="1">N42+N43</f>
        <v>11862530.48</v>
      </c>
      <c r="O41" s="77">
        <f t="shared" ref="O41:O43" ca="1" si="14">IF(L41&gt;0,N41*100/L41,0)</f>
        <v>72.931519738338679</v>
      </c>
      <c r="P41" s="77">
        <f t="shared" ref="P41:P43" ca="1" si="15">IF(M41&gt;0,N41*100/M41,0)</f>
        <v>90.60578340289625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16265300</v>
      </c>
      <c r="M43" s="78">
        <f t="shared" ca="1" si="16"/>
        <v>13092465</v>
      </c>
      <c r="N43" s="78">
        <f t="shared" ca="1" si="16"/>
        <v>11862530.48</v>
      </c>
      <c r="O43" s="77">
        <f t="shared" ca="1" si="14"/>
        <v>72.931519738338679</v>
      </c>
      <c r="P43" s="77">
        <f t="shared" ca="1" si="15"/>
        <v>90.60578340289625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10690865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9460930.4800000004</v>
      </c>
      <c r="O45" s="38">
        <f ca="1">IF(L45&gt;0,N45*100/L45,0)</f>
        <v>68.242463988689892</v>
      </c>
      <c r="P45" s="38">
        <f ca="1">IF(M45&gt;0,N45*100/M45,0)</f>
        <v>88.495462995744504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2401600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2401600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2401600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17">L54+L55</f>
        <v>8065800</v>
      </c>
      <c r="M53" s="121">
        <f t="shared" ca="1" si="17"/>
        <v>6608755.0399999991</v>
      </c>
      <c r="N53" s="121">
        <f t="shared" ca="1" si="17"/>
        <v>5777326.9300000006</v>
      </c>
      <c r="O53" s="120">
        <f t="shared" ref="O53:O55" ca="1" si="18">IF(L53&gt;0,N53*100/L53,0)</f>
        <v>71.62745084182599</v>
      </c>
      <c r="P53" s="120">
        <f t="shared" ref="P53:P55" ca="1" si="19">IF(M53&gt;0,N53*100/M53,0)</f>
        <v>87.419292968679954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8065800</v>
      </c>
      <c r="M55" s="121">
        <f t="shared" ca="1" si="21"/>
        <v>6608755.0399999991</v>
      </c>
      <c r="N55" s="121">
        <f t="shared" ca="1" si="21"/>
        <v>5777326.9300000006</v>
      </c>
      <c r="O55" s="120">
        <f t="shared" ca="1" si="18"/>
        <v>71.62745084182599</v>
      </c>
      <c r="P55" s="120">
        <f t="shared" ca="1" si="19"/>
        <v>87.419292968679954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6608755.0399999991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5777326.9300000006</v>
      </c>
      <c r="O57" s="38">
        <f ca="1">IF(L57&gt;0,N57*100/L57,0)</f>
        <v>71.62745084182599</v>
      </c>
      <c r="P57" s="38">
        <f ca="1">IF(M57&gt;0,N57*100/M57,0)</f>
        <v>87.419292968679954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3">
        <f t="shared" ref="K64:K65" ca="1" si="22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3">
        <f t="shared" ca="1" si="22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10729200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9981280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8912924.2599999998</v>
      </c>
      <c r="O66" s="151">
        <f t="shared" ref="O66:O68" ca="1" si="23">IF(L66&gt;0,N66*100/L66,0)</f>
        <v>83.071657346307276</v>
      </c>
      <c r="P66" s="151">
        <f t="shared" ref="P66:P68" ca="1" si="24">IF(M66&gt;0,N66*100/M66,0)</f>
        <v>89.296405471041794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10729200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9981280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8912924.2599999998</v>
      </c>
      <c r="O68" s="156">
        <f t="shared" ca="1" si="23"/>
        <v>83.071657346307276</v>
      </c>
      <c r="P68" s="156">
        <f t="shared" ca="1" si="24"/>
        <v>89.296405471041794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4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4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68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4520180</v>
      </c>
      <c r="N70" s="16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3451824.26</v>
      </c>
      <c r="O70" s="169">
        <f ca="1">IF(L70&gt;0,N70*100/L70,0)</f>
        <v>65.523134716501204</v>
      </c>
      <c r="P70" s="169">
        <f ca="1">IF(M70&gt;0,N70*100/M70,0)</f>
        <v>76.364752288625681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5461100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5461100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6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6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6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1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2">
        <f t="shared" ref="K80:K88" ca="1" si="25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1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2">
        <f t="shared" ca="1" si="25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4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3">
        <f t="shared" ca="1" si="25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4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3">
        <f t="shared" ca="1" si="25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8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3">
        <f t="shared" ca="1" si="25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8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3">
        <f t="shared" ca="1" si="25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4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3">
        <f t="shared" ca="1" si="25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4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3">
        <f t="shared" ca="1" si="25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8</v>
      </c>
      <c r="J88" s="204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2</v>
      </c>
      <c r="K88" s="163">
        <f t="shared" ca="1" si="25"/>
        <v>25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22</v>
      </c>
      <c r="K92" s="143">
        <f t="shared" ref="K92:K93" ca="1" si="26">IF(I92&gt;0,J92*100/I92,0)</f>
        <v>75.862068965517238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6</v>
      </c>
      <c r="K93" s="143">
        <f t="shared" ca="1" si="26"/>
        <v>75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1372630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1085597.3599999999</v>
      </c>
      <c r="O94" s="151">
        <f t="shared" ref="O94:O96" ca="1" si="27">IF(L94&gt;0,N94*100/L94,0)</f>
        <v>72.676460428186957</v>
      </c>
      <c r="P94" s="151">
        <f t="shared" ref="P94:P96" ca="1" si="28">IF(M94&gt;0,N94*100/M94,0)</f>
        <v>79.088855700370814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1372630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1085597.3599999999</v>
      </c>
      <c r="O96" s="156">
        <f t="shared" ca="1" si="27"/>
        <v>72.676460428186957</v>
      </c>
      <c r="P96" s="156">
        <f t="shared" ca="1" si="28"/>
        <v>79.088855700370814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4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4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68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633430</v>
      </c>
      <c r="N98" s="16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346397.36</v>
      </c>
      <c r="O98" s="169">
        <f ca="1">IF(L98&gt;0,N98*100/L98,0)</f>
        <v>45.90841572348716</v>
      </c>
      <c r="P98" s="169">
        <f ca="1">IF(M98&gt;0,N98*100/M98,0)</f>
        <v>54.685973193565189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6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6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6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4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5</v>
      </c>
      <c r="K108" s="225">
        <f t="shared" ref="K108:K113" ca="1" si="29">IF(I108&gt;0,J108*100/I108,0)</f>
        <v>83.333333333333329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4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22</v>
      </c>
      <c r="K109" s="225">
        <f t="shared" ca="1" si="29"/>
        <v>75.862068965517238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4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5">
        <f t="shared" ca="1" si="29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4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22</v>
      </c>
      <c r="K111" s="225">
        <f t="shared" ca="1" si="29"/>
        <v>75.862068965517238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4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5">
        <f t="shared" ca="1" si="29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4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6</v>
      </c>
      <c r="K113" s="225">
        <f t="shared" ca="1" si="29"/>
        <v>75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441990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441990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274125</v>
      </c>
      <c r="O118" s="151">
        <f t="shared" ref="O118:O120" ca="1" si="30">IF(L118&gt;0,N118*100/L118,0)</f>
        <v>62.020633950994366</v>
      </c>
      <c r="P118" s="151">
        <f t="shared" ref="P118:P120" ca="1" si="31">IF(M118&gt;0,N118*100/M118,0)</f>
        <v>62.020633950994366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441990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441990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274125</v>
      </c>
      <c r="O120" s="156">
        <f t="shared" ca="1" si="30"/>
        <v>62.020633950994366</v>
      </c>
      <c r="P120" s="156">
        <f t="shared" ca="1" si="31"/>
        <v>62.020633950994366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4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4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441990</v>
      </c>
      <c r="M122" s="168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441990</v>
      </c>
      <c r="N122" s="16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274125</v>
      </c>
      <c r="O122" s="169">
        <f ca="1">IF(L122&gt;0,N122*100/L122,0)</f>
        <v>62.020633950994366</v>
      </c>
      <c r="P122" s="169">
        <f ca="1">IF(M122&gt;0,N122*100/M122,0)</f>
        <v>62.020633950994366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441990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6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6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6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4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5">
        <f t="shared" ref="K132:K133" ca="1" si="32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4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105</v>
      </c>
      <c r="K133" s="225">
        <f t="shared" ca="1" si="32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2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8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6816300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5808045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4423426.74</v>
      </c>
      <c r="O140" s="151">
        <f t="shared" ref="O140:O142" ca="1" si="33">IF(L140&gt;0,N140*100/L140,0)</f>
        <v>64.894836494872578</v>
      </c>
      <c r="P140" s="151">
        <f t="shared" ref="P140:P142" ca="1" si="34">IF(M140&gt;0,N140*100/M140,0)</f>
        <v>76.160338633739926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6816300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5808045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4423426.74</v>
      </c>
      <c r="O142" s="156">
        <f t="shared" ca="1" si="33"/>
        <v>64.894836494872578</v>
      </c>
      <c r="P142" s="156">
        <f t="shared" ca="1" si="34"/>
        <v>76.160338633739926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4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4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6816300</v>
      </c>
      <c r="M144" s="168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5808045</v>
      </c>
      <c r="N144" s="16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4423426.74</v>
      </c>
      <c r="O144" s="169">
        <f ca="1">IF(L144&gt;0,N144*100/L144,0)</f>
        <v>64.894836494872578</v>
      </c>
      <c r="P144" s="169">
        <f ca="1">IF(M144&gt;0,N144*100/M144,0)</f>
        <v>76.160338633739926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3225700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6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45</v>
      </c>
      <c r="K149" s="277">
        <f ca="1">IF(I149&gt;0,J149*100/I149,0)</f>
        <v>53.571428571428569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21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21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21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8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45</v>
      </c>
      <c r="K158" s="163">
        <f ca="1">IF(I158&gt;0,J158*100/I158,0)</f>
        <v>53.571428571428569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1498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1497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5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43</v>
      </c>
      <c r="K164" s="286">
        <f ca="1">IF(I164&gt;0,J164*100/I164,0)</f>
        <v>86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17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17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17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8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43</v>
      </c>
      <c r="K173" s="163">
        <f ca="1">IF(I173&gt;0,J173*100/I173,0)</f>
        <v>86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2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4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5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5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4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11</v>
      </c>
      <c r="K185" s="225">
        <f t="shared" ref="K185:K186" ca="1" si="35">IF(I185&gt;0,J185*100/I185,0)</f>
        <v>64.705882352941174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4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5">
        <f t="shared" ca="1" si="35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5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5000</v>
      </c>
      <c r="K189" s="286">
        <f ca="1">IF(I189&gt;0,J189*100/I189,0)</f>
        <v>1.1086474501108647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4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17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13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11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8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81000</v>
      </c>
      <c r="K199" s="163">
        <f t="shared" ref="K199:K201" ca="1" si="36">IF(I199&gt;0,J199*100/I199,0)</f>
        <v>17.96008869179601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8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5000</v>
      </c>
      <c r="K200" s="163">
        <f t="shared" ca="1" si="36"/>
        <v>1.1086474501108647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8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3">
        <f t="shared" ca="1" si="36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5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11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4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4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40</v>
      </c>
      <c r="K215" s="225">
        <f t="shared" ref="K215:K216" ca="1" si="37">IF(I215&gt;0,J215*100/I215,0)</f>
        <v>33.333333333333336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4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4</v>
      </c>
      <c r="K216" s="225">
        <f t="shared" ca="1" si="37"/>
        <v>40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8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365907.6</v>
      </c>
      <c r="O220" s="151">
        <f t="shared" ref="O220:O222" ca="1" si="38">IF(L220&gt;0,N220*100/L220,0)</f>
        <v>99.582952318745924</v>
      </c>
      <c r="P220" s="151">
        <f t="shared" ref="P220:P222" ca="1" si="39">IF(M220&gt;0,N220*100/M220,0)</f>
        <v>99.582952318745924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365907.6</v>
      </c>
      <c r="O222" s="156">
        <f t="shared" ca="1" si="38"/>
        <v>99.582952318745924</v>
      </c>
      <c r="P222" s="156">
        <f t="shared" ca="1" si="39"/>
        <v>99.582952318745924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4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4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68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6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365907.6</v>
      </c>
      <c r="O224" s="169">
        <f ca="1">IF(L224&gt;0,N224*100/L224,0)</f>
        <v>99.582952318745924</v>
      </c>
      <c r="P224" s="169">
        <f ca="1">IF(M224&gt;0,N224*100/M224,0)</f>
        <v>99.582952318745924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8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13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13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13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8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4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7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8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7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900900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677476</v>
      </c>
      <c r="O250" s="151">
        <f t="shared" ref="O250:O252" ca="1" si="40">IF(L250&gt;0,N250*100/L250,0)</f>
        <v>59.64222202658685</v>
      </c>
      <c r="P250" s="151">
        <f t="shared" ref="P250:P252" ca="1" si="41">IF(M250&gt;0,N250*100/M250,0)</f>
        <v>75.199911199911199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900900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677476</v>
      </c>
      <c r="O252" s="156">
        <f t="shared" ca="1" si="40"/>
        <v>59.64222202658685</v>
      </c>
      <c r="P252" s="156">
        <f t="shared" ca="1" si="41"/>
        <v>75.199911199911199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4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4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8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900900</v>
      </c>
      <c r="N254" s="16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677476</v>
      </c>
      <c r="O254" s="169">
        <f ca="1">IF(L254&gt;0,N254*100/L254,0)</f>
        <v>59.64222202658685</v>
      </c>
      <c r="P254" s="169">
        <f ca="1">IF(M254&gt;0,N254*100/M254,0)</f>
        <v>75.199911199911199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9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9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8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3">
        <f t="shared" ref="K264:K267" ca="1" si="4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8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3">
        <f t="shared" ca="1" si="4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8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20</v>
      </c>
      <c r="K266" s="163">
        <f t="shared" ca="1" si="42"/>
        <v>10.256410256410257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8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7</v>
      </c>
      <c r="K267" s="163">
        <f t="shared" ca="1" si="42"/>
        <v>77.777777777777771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7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935650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722410.88</v>
      </c>
      <c r="O271" s="151">
        <f t="shared" ref="O271:O273" ca="1" si="43">IF(L271&gt;0,N271*100/L271,0)</f>
        <v>57.021933854289998</v>
      </c>
      <c r="P271" s="151">
        <f t="shared" ref="P271:P273" ca="1" si="44">IF(M271&gt;0,N271*100/M271,0)</f>
        <v>77.209520654090738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935650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722410.88</v>
      </c>
      <c r="O273" s="156">
        <f t="shared" ca="1" si="43"/>
        <v>57.021933854289998</v>
      </c>
      <c r="P273" s="156">
        <f t="shared" ca="1" si="44"/>
        <v>77.209520654090738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4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4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68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935650</v>
      </c>
      <c r="N275" s="16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722410.88</v>
      </c>
      <c r="O275" s="169">
        <f ca="1">IF(L275&gt;0,N275*100/L275,0)</f>
        <v>57.021933854289998</v>
      </c>
      <c r="P275" s="169">
        <f ca="1">IF(M275&gt;0,N275*100/M275,0)</f>
        <v>77.209520654090738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13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13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13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8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7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437820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377460</v>
      </c>
      <c r="O290" s="151">
        <f t="shared" ref="O290:O292" ca="1" si="45">IF(L290&gt;0,N290*100/L290,0)</f>
        <v>86.213512402357139</v>
      </c>
      <c r="P290" s="151">
        <f t="shared" ref="P290:P292" ca="1" si="46">IF(M290&gt;0,N290*100/M290,0)</f>
        <v>86.213512402357139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437820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377460</v>
      </c>
      <c r="O292" s="156">
        <f t="shared" ca="1" si="45"/>
        <v>86.213512402357139</v>
      </c>
      <c r="P292" s="156">
        <f t="shared" ca="1" si="46"/>
        <v>86.213512402357139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4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4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68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315320</v>
      </c>
      <c r="N294" s="16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254960</v>
      </c>
      <c r="O294" s="169">
        <f ca="1">IF(L294&gt;0,N294*100/L294,0)</f>
        <v>80.85754154509705</v>
      </c>
      <c r="P294" s="169">
        <f ca="1">IF(M294&gt;0,N294*100/M294,0)</f>
        <v>80.85754154509705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3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3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3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4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4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40</v>
      </c>
      <c r="K306" s="225">
        <f ca="1">IF(I306&gt;0,J306*100/I306,0)</f>
        <v>40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4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12</v>
      </c>
      <c r="K309" s="335">
        <f ca="1">IF(I309&gt;0,J309*100/I309,0)</f>
        <v>80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764900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429167</v>
      </c>
      <c r="O310" s="151">
        <f t="shared" ref="O310:O312" ca="1" si="47">IF(L310&gt;0,N310*100/L310,0)</f>
        <v>42.083447734849969</v>
      </c>
      <c r="P310" s="151">
        <f t="shared" ref="P310:P312" ca="1" si="48">IF(M310&gt;0,N310*100/M310,0)</f>
        <v>56.10759576415218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764900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429167</v>
      </c>
      <c r="O312" s="156">
        <f t="shared" ca="1" si="47"/>
        <v>42.083447734849969</v>
      </c>
      <c r="P312" s="156">
        <f t="shared" ca="1" si="48"/>
        <v>56.10759576415218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4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4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68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764900</v>
      </c>
      <c r="N314" s="16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429167</v>
      </c>
      <c r="O314" s="169">
        <f ca="1">IF(L314&gt;0,N314*100/L314,0)</f>
        <v>42.083447734849969</v>
      </c>
      <c r="P314" s="169">
        <f ca="1">IF(M314&gt;0,N314*100/M314,0)</f>
        <v>56.10759576415218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3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3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3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4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12</v>
      </c>
      <c r="K324" s="225">
        <f ca="1">IF(I324&gt;0,J324*100/I324,0)</f>
        <v>80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3399</v>
      </c>
      <c r="J328" s="340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1898</v>
      </c>
      <c r="K328" s="318">
        <f ca="1">IF(I328&gt;0,J328*100/I328,0)</f>
        <v>55.839952927331566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17669660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14103625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11306778.810000001</v>
      </c>
      <c r="O329" s="151">
        <f t="shared" ref="O329:O331" ca="1" si="49">IF(L329&gt;0,N329*100/L329,0)</f>
        <v>63.989792729458294</v>
      </c>
      <c r="P329" s="151">
        <f t="shared" ref="P329:P331" ca="1" si="50">IF(M329&gt;0,N329*100/M329,0)</f>
        <v>80.169309734199544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17669660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14103625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11306778.810000001</v>
      </c>
      <c r="O331" s="156">
        <f t="shared" ca="1" si="49"/>
        <v>63.989792729458294</v>
      </c>
      <c r="P331" s="156">
        <f t="shared" ca="1" si="50"/>
        <v>80.169309734199544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4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4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16461610</v>
      </c>
      <c r="M333" s="168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12895575</v>
      </c>
      <c r="N333" s="16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10098728.810000001</v>
      </c>
      <c r="O333" s="169">
        <f ca="1">IF(L333&gt;0,N333*100/L333,0)</f>
        <v>61.347151402566332</v>
      </c>
      <c r="P333" s="169">
        <f ca="1">IF(M333&gt;0,N333*100/M333,0)</f>
        <v>78.311582151241808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6821310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1208050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1208050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2174</v>
      </c>
      <c r="K339" s="343">
        <f t="shared" ref="K339:K346" ca="1" si="51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34650</v>
      </c>
      <c r="J340" s="18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23198.479999999996</v>
      </c>
      <c r="K340" s="343">
        <f t="shared" ca="1" si="51"/>
        <v>66.950880230880216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3399</v>
      </c>
      <c r="J341" s="18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2270</v>
      </c>
      <c r="K341" s="343">
        <f t="shared" ca="1" si="51"/>
        <v>66.784348337746394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30435.51</v>
      </c>
      <c r="K342" s="343">
        <f t="shared" ca="1" si="51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3399</v>
      </c>
      <c r="J343" s="18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42</v>
      </c>
      <c r="K343" s="343">
        <f t="shared" ca="1" si="51"/>
        <v>1.235657546337158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451.42999999999995</v>
      </c>
      <c r="K344" s="343">
        <f t="shared" ca="1" si="51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3399</v>
      </c>
      <c r="J345" s="18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1898</v>
      </c>
      <c r="K345" s="343">
        <f t="shared" ca="1" si="51"/>
        <v>55.839952927331566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26106.22</v>
      </c>
      <c r="K346" s="351">
        <f t="shared" ca="1" si="51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27785419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12974213.890000001</v>
      </c>
      <c r="O347" s="358">
        <f ca="1">+IF(L347&gt;0,N347*100/L347,0)</f>
        <v>46.694325142262564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199</v>
      </c>
      <c r="K349" s="372">
        <f t="shared" ref="K349:K350" ca="1" si="52">IF(I349&gt;0,J349*100/I349,0)</f>
        <v>31.388012618296528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1227287.95</v>
      </c>
      <c r="O349" s="373">
        <f ca="1">+IF(L349&gt;0,N349*100/L349,0)</f>
        <v>55.190262800507256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272</v>
      </c>
      <c r="K350" s="372">
        <f t="shared" ca="1" si="52"/>
        <v>93.150684931506845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4"/>
      <c r="N351" s="164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5">
        <f t="shared" ref="O351:O354" ca="1" si="53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5"/>
      <c r="N352" s="164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1227287.95</v>
      </c>
      <c r="O352" s="165">
        <f t="shared" ca="1" si="53"/>
        <v>55.190262800507256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69"/>
      <c r="N353" s="169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69">
        <f t="shared" ca="1" si="53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69"/>
      <c r="N354" s="16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1227287.95</v>
      </c>
      <c r="O354" s="169">
        <f t="shared" ca="1" si="53"/>
        <v>55.190262800507256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373795.01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299890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415622.94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137980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12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11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11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3">
        <f t="shared" ref="K367:K373" ca="1" si="54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272</v>
      </c>
      <c r="K368" s="163">
        <f t="shared" ca="1" si="54"/>
        <v>93.150684931506845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4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3">
        <f t="shared" ca="1" si="54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4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236</v>
      </c>
      <c r="K370" s="163">
        <f t="shared" ca="1" si="54"/>
        <v>80.821917808219183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8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3">
        <f t="shared" ca="1" si="54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8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207</v>
      </c>
      <c r="K372" s="163">
        <f t="shared" ca="1" si="54"/>
        <v>70.890410958904113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4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3">
        <f t="shared" ca="1" si="54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199</v>
      </c>
      <c r="K375" s="163">
        <f t="shared" ref="K375:K377" ca="1" si="55">IF(I375&gt;0,J375*100/I375,0)</f>
        <v>31.388012618296528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8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52</v>
      </c>
      <c r="K376" s="163">
        <f t="shared" ca="1" si="55"/>
        <v>16.938110749185668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4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147</v>
      </c>
      <c r="K377" s="163">
        <f t="shared" ca="1" si="55"/>
        <v>44.954128440366972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2053.25</v>
      </c>
      <c r="K380" s="372">
        <f t="shared" ref="K380:K381" ca="1" si="56">IF(I380&gt;0,J380*100/I380,0)</f>
        <v>23.332386363636363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3537911.3000000003</v>
      </c>
      <c r="O380" s="373">
        <f ca="1">+IF(L380&gt;0,N380*100/L380,0)</f>
        <v>39.431399013855945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886</v>
      </c>
      <c r="K381" s="372">
        <f t="shared" ca="1" si="56"/>
        <v>100.68181818181819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4"/>
      <c r="N382" s="164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5">
        <f t="shared" ref="O382:O385" ca="1" si="57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5"/>
      <c r="N383" s="165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3537911.3000000003</v>
      </c>
      <c r="O383" s="165">
        <f t="shared" ca="1" si="57"/>
        <v>39.431399013855945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69"/>
      <c r="N384" s="169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69">
        <f t="shared" ca="1" si="57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69"/>
      <c r="N385" s="16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3537911.3000000003</v>
      </c>
      <c r="O385" s="169">
        <f t="shared" ca="1" si="57"/>
        <v>39.431399013855945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1729039.5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1018201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440904.62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349766.18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17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17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17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8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886</v>
      </c>
      <c r="K396" s="163">
        <f t="shared" ref="K396:K398" ca="1" si="58">IF(I396&gt;0,J396*100/I396,0)</f>
        <v>100.68181818181819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8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2053.25</v>
      </c>
      <c r="K397" s="163">
        <f t="shared" ca="1" si="58"/>
        <v>23.332386363636363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8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222</v>
      </c>
      <c r="K398" s="163">
        <f t="shared" ca="1" si="58"/>
        <v>25.227272727272727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2725</v>
      </c>
      <c r="K401" s="372">
        <f t="shared" ref="K401:K402" ca="1" si="59">IF(I401&gt;0,J401*100/I401,0)</f>
        <v>90.38142620232172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2403932.6</v>
      </c>
      <c r="O401" s="373">
        <f ca="1">+IF(L401&gt;0,N401*100/L401,0)</f>
        <v>70.854987841721311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947</v>
      </c>
      <c r="K402" s="372">
        <f t="shared" ca="1" si="59"/>
        <v>94.228855721393032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4"/>
      <c r="N403" s="169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69">
        <f t="shared" ref="O403:O406" ca="1" si="60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5"/>
      <c r="N404" s="169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2403932.6</v>
      </c>
      <c r="O404" s="169">
        <f t="shared" ca="1" si="60"/>
        <v>70.854987841721311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69"/>
      <c r="N405" s="169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69">
        <f t="shared" ca="1" si="60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69"/>
      <c r="N406" s="169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2403932.6</v>
      </c>
      <c r="O406" s="169">
        <f t="shared" ca="1" si="60"/>
        <v>70.854987841721311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1753553.9199999999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371605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278773.68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21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21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21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1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947</v>
      </c>
      <c r="K416" s="202">
        <f t="shared" ref="K416:K432" ca="1" si="61">IF(I416&gt;0,J416*100/I416,0)</f>
        <v>94.228855721393032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225</v>
      </c>
      <c r="K417" s="202">
        <f t="shared" ca="1" si="61"/>
        <v>94.537815126050418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714</v>
      </c>
      <c r="K418" s="202">
        <f t="shared" ca="1" si="61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225</v>
      </c>
      <c r="K419" s="163">
        <f t="shared" ca="1" si="61"/>
        <v>94.537815126050418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89">
        <f t="shared" ca="1" si="61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506</v>
      </c>
      <c r="K421" s="202">
        <f t="shared" ca="1" si="61"/>
        <v>95.291902071563086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1383</v>
      </c>
      <c r="K422" s="202">
        <f t="shared" ca="1" si="61"/>
        <v>86.817325800376651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3">
        <f t="shared" ca="1" si="61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506</v>
      </c>
      <c r="K424" s="163">
        <f t="shared" ca="1" si="61"/>
        <v>95.291902071563086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506</v>
      </c>
      <c r="K425" s="163">
        <f t="shared" ca="1" si="61"/>
        <v>95.291902071563086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216</v>
      </c>
      <c r="K426" s="202">
        <f t="shared" ca="1" si="61"/>
        <v>91.525423728813564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628</v>
      </c>
      <c r="K427" s="202">
        <f t="shared" ca="1" si="61"/>
        <v>88.700564971751419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226</v>
      </c>
      <c r="K428" s="163">
        <f t="shared" ca="1" si="61"/>
        <v>95.762711864406782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216</v>
      </c>
      <c r="K429" s="163">
        <f t="shared" ca="1" si="61"/>
        <v>91.525423728813564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370</v>
      </c>
      <c r="K430" s="202">
        <f t="shared" ca="1" si="61"/>
        <v>48.11443433029909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120</v>
      </c>
      <c r="K431" s="163">
        <f t="shared" ca="1" si="61"/>
        <v>50.420168067226889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250</v>
      </c>
      <c r="K432" s="163">
        <f t="shared" ca="1" si="61"/>
        <v>47.080979284369114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509</v>
      </c>
      <c r="K435" s="411">
        <f ca="1">IF(I435&gt;0,J435*100/I435,0)</f>
        <v>100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2293900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1520961.98</v>
      </c>
      <c r="O435" s="412">
        <f t="shared" ref="O435:O439" ca="1" si="62">+IF(L435&gt;0,N435*100/L435,0)</f>
        <v>66.304633157504682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4"/>
      <c r="N436" s="169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69">
        <f t="shared" ca="1" si="62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2293900</v>
      </c>
      <c r="M437" s="165"/>
      <c r="N437" s="169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1520961.98</v>
      </c>
      <c r="O437" s="169">
        <f t="shared" ca="1" si="62"/>
        <v>66.304633157504682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69"/>
      <c r="N438" s="169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69">
        <f t="shared" ca="1" si="62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2293900</v>
      </c>
      <c r="M439" s="169"/>
      <c r="N439" s="169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1520961.98</v>
      </c>
      <c r="O439" s="169">
        <f t="shared" ca="1" si="62"/>
        <v>66.304633157504682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1107243.29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413718.69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20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20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20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1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509</v>
      </c>
      <c r="K449" s="163">
        <f t="shared" ref="K449:K452" ca="1" si="63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8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399</v>
      </c>
      <c r="K450" s="163">
        <f t="shared" ca="1" si="63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3">
        <f t="shared" ca="1" si="63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3">
        <f t="shared" ca="1" si="63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556265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184055.45</v>
      </c>
      <c r="K455" s="372">
        <f ca="1">IF(I455&gt;0,J455*100/I455,0)</f>
        <v>33.087727971380545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5606664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1484275.909999999</v>
      </c>
      <c r="O455" s="373">
        <f t="shared" ref="O455:O459" ca="1" si="64">+IF(L455&gt;0,N455*100/L455,0)</f>
        <v>26.473423590213343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4"/>
      <c r="N456" s="169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69">
        <f t="shared" ca="1" si="64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5606664</v>
      </c>
      <c r="M457" s="165"/>
      <c r="N457" s="169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1484275.909999999</v>
      </c>
      <c r="O457" s="169">
        <f t="shared" ca="1" si="64"/>
        <v>26.473423590213343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69"/>
      <c r="N458" s="169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69">
        <f t="shared" ca="1" si="64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5606664</v>
      </c>
      <c r="M459" s="169"/>
      <c r="N459" s="169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1484275.909999999</v>
      </c>
      <c r="O459" s="169">
        <f t="shared" ca="1" si="64"/>
        <v>26.473423590213343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356340.31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1127935.6000000001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556265</v>
      </c>
      <c r="J464" s="268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184055.45</v>
      </c>
      <c r="K464" s="269">
        <f t="shared" ref="K464:K515" ca="1" si="65">IF(I464&gt;0,J464*100/I464,0)</f>
        <v>33.087727971380545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556265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556452.41867999989</v>
      </c>
      <c r="K465" s="202">
        <f t="shared" ca="1" si="65"/>
        <v>100.03369233728526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45636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45666</v>
      </c>
      <c r="K466" s="202">
        <f t="shared" ca="1" si="65"/>
        <v>100.06573757559821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8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429142.50280000002</v>
      </c>
      <c r="K467" s="163">
        <f t="shared" ca="1" si="65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8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36881</v>
      </c>
      <c r="K468" s="163">
        <f t="shared" ca="1" si="65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8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109117.47068</v>
      </c>
      <c r="K469" s="163">
        <f t="shared" ca="1" si="65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8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7369</v>
      </c>
      <c r="K470" s="163">
        <f t="shared" ca="1" si="65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8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18192.445200000002</v>
      </c>
      <c r="K471" s="163">
        <f t="shared" ca="1" si="65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8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1416</v>
      </c>
      <c r="K472" s="163">
        <f t="shared" ca="1" si="65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556265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370329.07819999987</v>
      </c>
      <c r="K473" s="202">
        <f t="shared" ca="1" si="65"/>
        <v>66.574218798594174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45636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32247</v>
      </c>
      <c r="K474" s="202">
        <f t="shared" ca="1" si="65"/>
        <v>70.661320010518011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8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290000.11290000001</v>
      </c>
      <c r="K475" s="163">
        <f t="shared" ca="1" si="65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8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26739</v>
      </c>
      <c r="K476" s="163">
        <f t="shared" ca="1" si="65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8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67485.790099999998</v>
      </c>
      <c r="K477" s="163">
        <f t="shared" ca="1" si="65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8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4444</v>
      </c>
      <c r="K478" s="163">
        <f t="shared" ca="1" si="65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8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12843.175200000001</v>
      </c>
      <c r="K479" s="163">
        <f t="shared" ca="1" si="65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8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1074</v>
      </c>
      <c r="K480" s="163">
        <f t="shared" ca="1" si="65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556265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184055.45</v>
      </c>
      <c r="K481" s="202">
        <f t="shared" ca="1" si="65"/>
        <v>33.087727971380545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45636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19106</v>
      </c>
      <c r="K482" s="202">
        <f t="shared" ca="1" si="65"/>
        <v>41.866070645981246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8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165131.45000000001</v>
      </c>
      <c r="K483" s="163">
        <f t="shared" ca="1" si="65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8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17524</v>
      </c>
      <c r="K484" s="163">
        <f t="shared" ca="1" si="65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8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14862</v>
      </c>
      <c r="K485" s="163">
        <f t="shared" ca="1" si="65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8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1175</v>
      </c>
      <c r="K486" s="163">
        <f t="shared" ca="1" si="65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4062</v>
      </c>
      <c r="K487" s="163">
        <f t="shared" ca="1" si="65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407</v>
      </c>
      <c r="K488" s="163">
        <f t="shared" ca="1" si="65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8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3583</v>
      </c>
      <c r="K489" s="163">
        <f t="shared" ca="1" si="65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8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393</v>
      </c>
      <c r="K490" s="163">
        <f t="shared" ca="1" si="65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8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479</v>
      </c>
      <c r="K491" s="163">
        <f t="shared" ca="1" si="65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8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14</v>
      </c>
      <c r="K492" s="163">
        <f t="shared" ca="1" si="65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8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0</v>
      </c>
      <c r="K493" s="163">
        <f t="shared" ca="1" si="65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0</v>
      </c>
      <c r="K494" s="289">
        <f t="shared" ca="1" si="65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0</v>
      </c>
      <c r="K495" s="163">
        <f t="shared" ca="1" si="65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0</v>
      </c>
      <c r="K496" s="289">
        <f t="shared" ca="1" si="65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8245</v>
      </c>
      <c r="K497" s="444">
        <f t="shared" ca="1" si="65"/>
        <v>14.064685612909829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8245</v>
      </c>
      <c r="K498" s="202">
        <f t="shared" ca="1" si="65"/>
        <v>14.064685612909829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595</v>
      </c>
      <c r="K499" s="202">
        <f t="shared" ca="1" si="65"/>
        <v>15.728257996299233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2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7529</v>
      </c>
      <c r="K500" s="163">
        <f t="shared" ca="1" si="65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2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479</v>
      </c>
      <c r="K501" s="163">
        <f t="shared" ca="1" si="65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8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7524</v>
      </c>
      <c r="K502" s="163">
        <f t="shared" ca="1" si="65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8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478</v>
      </c>
      <c r="K503" s="163">
        <f t="shared" ca="1" si="65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8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5</v>
      </c>
      <c r="K504" s="163">
        <f t="shared" ca="1" si="65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8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</v>
      </c>
      <c r="K505" s="163">
        <f t="shared" ca="1" si="65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8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3">
        <f t="shared" ca="1" si="65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8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3">
        <f t="shared" ca="1" si="65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2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212</v>
      </c>
      <c r="K508" s="163">
        <f t="shared" ca="1" si="65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2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15</v>
      </c>
      <c r="K509" s="163">
        <f t="shared" ca="1" si="65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8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212</v>
      </c>
      <c r="K510" s="163">
        <f t="shared" ca="1" si="65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8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15</v>
      </c>
      <c r="K511" s="163">
        <f t="shared" ca="1" si="65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8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163">
        <f t="shared" ca="1" si="65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8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163">
        <f t="shared" ca="1" si="65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8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504</v>
      </c>
      <c r="K514" s="163">
        <f t="shared" ca="1" si="65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8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101</v>
      </c>
      <c r="K515" s="163">
        <f t="shared" ca="1" si="65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8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5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5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6102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194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6102</v>
      </c>
      <c r="J525" s="285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4522.41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194</v>
      </c>
      <c r="J526" s="285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117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8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5360.76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8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162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8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8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8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438</v>
      </c>
      <c r="K533" s="411">
        <f ca="1">IF(I533&gt;0,J533*100/I533,0)</f>
        <v>99.319727891156461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535215.99</v>
      </c>
      <c r="O533" s="412">
        <f t="shared" ref="O533:O537" ca="1" si="66">+IF(L533&gt;0,N533*100/L533,0)</f>
        <v>76.101748922919427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4"/>
      <c r="N534" s="169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69">
        <f t="shared" ca="1" si="66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5"/>
      <c r="N535" s="169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535215.99</v>
      </c>
      <c r="O535" s="169">
        <f t="shared" ca="1" si="66"/>
        <v>76.101748922919427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69"/>
      <c r="N536" s="169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69">
        <f t="shared" ca="1" si="66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69"/>
      <c r="N537" s="169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535215.99</v>
      </c>
      <c r="O537" s="169">
        <f t="shared" ca="1" si="66"/>
        <v>76.101748922919427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361326.02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173889.97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19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21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21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8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438</v>
      </c>
      <c r="K547" s="163">
        <f t="shared" ref="K547:K548" ca="1" si="67">IF(I547&gt;0,J547*100/I547,0)</f>
        <v>99.319727891156461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3">
        <f t="shared" ca="1" si="67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4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2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0</v>
      </c>
      <c r="K551" s="411">
        <f ca="1">IF(I551&gt;0,J551*100/I551,0)</f>
        <v>0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70365</v>
      </c>
      <c r="O551" s="412">
        <f t="shared" ref="O551:O555" ca="1" si="68">+IF(L551&gt;0,N551*100/L551,0)</f>
        <v>35.537878787878789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4"/>
      <c r="N552" s="169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69">
        <f t="shared" ca="1" si="68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5"/>
      <c r="N553" s="169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70365</v>
      </c>
      <c r="O553" s="169">
        <f t="shared" ca="1" si="68"/>
        <v>35.537878787878789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69"/>
      <c r="N554" s="169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69">
        <f t="shared" ca="1" si="68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69"/>
      <c r="N555" s="169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70365</v>
      </c>
      <c r="O555" s="169">
        <f t="shared" ca="1" si="68"/>
        <v>35.537878787878789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70365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2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0</v>
      </c>
      <c r="K560" s="225">
        <f t="shared" ref="K560:K561" ca="1" si="69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4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0</v>
      </c>
      <c r="K561" s="225">
        <f t="shared" ca="1" si="69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39764</v>
      </c>
      <c r="K564" s="372">
        <f ca="1">IF(I564&gt;0,J564*100/I564,0)</f>
        <v>252.6302414231258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1510427.0199999998</v>
      </c>
      <c r="O564" s="373">
        <f t="shared" ref="O564:O568" ca="1" si="70">+IF(L564&gt;0,N564*100/L564,0)</f>
        <v>56.760778492619416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4"/>
      <c r="N565" s="169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69">
        <f t="shared" ca="1" si="70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5"/>
      <c r="N566" s="169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1510427.0199999998</v>
      </c>
      <c r="O566" s="169">
        <f t="shared" ca="1" si="70"/>
        <v>56.760778492619416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69"/>
      <c r="N567" s="169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69">
        <f t="shared" ca="1" si="70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69"/>
      <c r="N568" s="169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1510427.0199999998</v>
      </c>
      <c r="O568" s="169">
        <f t="shared" ca="1" si="70"/>
        <v>56.760778492619416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1185908.7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324518.32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39764</v>
      </c>
      <c r="K573" s="202">
        <f ca="1">IF(I573&gt;0,J573*100/I573,0)</f>
        <v>252.6302414231258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8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80</v>
      </c>
      <c r="K575" s="163">
        <f t="shared" ref="K575:K579" ca="1" si="71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8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2872</v>
      </c>
      <c r="K576" s="163">
        <f t="shared" ca="1" si="71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8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36863</v>
      </c>
      <c r="K577" s="163">
        <f t="shared" ca="1" si="71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8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16</v>
      </c>
      <c r="K578" s="163">
        <f t="shared" ca="1" si="71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8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13</v>
      </c>
      <c r="K579" s="163">
        <f t="shared" ca="1" si="71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995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28</v>
      </c>
      <c r="K580" s="372">
        <f ca="1">IF(I580&gt;0,J580*100/I580,0)</f>
        <v>2.8140703517587942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1584755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638577.93999999901</v>
      </c>
      <c r="O580" s="373">
        <f t="shared" ref="O580:O584" ca="1" si="72">+IF(L580&gt;0,N580*100/L580,0)</f>
        <v>40.295057595653525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4"/>
      <c r="N581" s="169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69">
        <f t="shared" ca="1" si="72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1584755</v>
      </c>
      <c r="M582" s="165"/>
      <c r="N582" s="169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638577.93999999901</v>
      </c>
      <c r="O582" s="169">
        <f t="shared" ca="1" si="72"/>
        <v>40.295057595653525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69"/>
      <c r="N583" s="169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69">
        <f t="shared" ca="1" si="72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1584755</v>
      </c>
      <c r="M584" s="169"/>
      <c r="N584" s="169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638577.93999999901</v>
      </c>
      <c r="O584" s="169">
        <f t="shared" ca="1" si="72"/>
        <v>40.295057595653525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272890.26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365687.68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995</v>
      </c>
      <c r="J589" s="18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456</v>
      </c>
      <c r="K589" s="163">
        <f t="shared" ref="K589:K596" ca="1" si="73">IF(I589&gt;0,J589*100/I589,0)</f>
        <v>45.829145728643219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309.27</v>
      </c>
      <c r="K590" s="479">
        <f t="shared" ca="1" si="73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995</v>
      </c>
      <c r="J591" s="18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211</v>
      </c>
      <c r="K591" s="163">
        <f t="shared" ca="1" si="73"/>
        <v>21.206030150753769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107.07</v>
      </c>
      <c r="K592" s="343">
        <f t="shared" ca="1" si="73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995</v>
      </c>
      <c r="J593" s="18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8</v>
      </c>
      <c r="K593" s="163">
        <f t="shared" ca="1" si="73"/>
        <v>0.8040201005025126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6.31</v>
      </c>
      <c r="K594" s="343">
        <f t="shared" ca="1" si="73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995</v>
      </c>
      <c r="J595" s="18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28</v>
      </c>
      <c r="K595" s="163">
        <f t="shared" ca="1" si="73"/>
        <v>2.8140703517587942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2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25.46</v>
      </c>
      <c r="K596" s="486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87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0</v>
      </c>
      <c r="K597" s="411">
        <f ca="1">IF(I597&gt;0,J597*100/I597,0)</f>
        <v>0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45258.2</v>
      </c>
      <c r="O597" s="412">
        <f t="shared" ref="O597:O601" ca="1" si="74">+IF(L597&gt;0,N597*100/L597,0)</f>
        <v>30.382787325456498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4"/>
      <c r="N598" s="169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69">
        <f t="shared" ca="1" si="74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5"/>
      <c r="N599" s="169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45258.2</v>
      </c>
      <c r="O599" s="169">
        <f t="shared" ca="1" si="74"/>
        <v>30.382787325456498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69"/>
      <c r="N600" s="169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69">
        <f t="shared" ca="1" si="74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69"/>
      <c r="N601" s="169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45258.2</v>
      </c>
      <c r="O601" s="169">
        <f t="shared" ca="1" si="74"/>
        <v>30.382787325456498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4800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40458.199999999997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2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0</v>
      </c>
      <c r="K611" s="163">
        <f t="shared" ref="K611:K619" ca="1" si="75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8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1657.18</v>
      </c>
      <c r="K612" s="163">
        <f t="shared" ca="1" si="75"/>
        <v>101.54289215686275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8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1239.18</v>
      </c>
      <c r="K613" s="163">
        <f t="shared" ca="1" si="75"/>
        <v>75.930147058823536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8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1021</v>
      </c>
      <c r="K614" s="163">
        <f t="shared" ca="1" si="75"/>
        <v>62.561274509803923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8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938</v>
      </c>
      <c r="K615" s="163">
        <f t="shared" ca="1" si="75"/>
        <v>57.475490196078432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8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252</v>
      </c>
      <c r="K616" s="163">
        <f t="shared" ca="1" si="75"/>
        <v>15.441176470588236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0</v>
      </c>
      <c r="K617" s="163">
        <f t="shared" ca="1" si="75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8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3">
        <f t="shared" ca="1" si="75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8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0</v>
      </c>
      <c r="K619" s="163">
        <f t="shared" ca="1" si="75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3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63">
        <f t="shared" ref="K620:K626" ca="1" si="76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3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63">
        <f t="shared" ca="1" si="76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8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63">
        <f t="shared" ca="1" si="76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8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3">
        <f t="shared" ca="1" si="76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63">
        <f t="shared" ca="1" si="76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8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63">
        <f t="shared" ca="1" si="76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8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63">
        <f t="shared" ca="1" si="76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95684622.340000004</v>
      </c>
      <c r="J628" s="342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54327976.630000003</v>
      </c>
      <c r="K628" s="343">
        <f t="shared" ref="K628:K635" ca="1" si="77">IF(I628&gt;0,J628*100/I628,0)</f>
        <v>56.778169053073363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3769</v>
      </c>
      <c r="J629" s="342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2286</v>
      </c>
      <c r="K629" s="343">
        <f t="shared" ca="1" si="77"/>
        <v>60.652693022021758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2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11990807.27</v>
      </c>
      <c r="K630" s="343">
        <f t="shared" ca="1" si="77"/>
        <v>10.299785000733973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2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1375</v>
      </c>
      <c r="K631" s="343">
        <f t="shared" ca="1" si="77"/>
        <v>39.579735175590095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2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14219010.120000005</v>
      </c>
      <c r="K632" s="343">
        <f t="shared" ca="1" si="77"/>
        <v>29.773630698302824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2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6944</v>
      </c>
      <c r="K633" s="343">
        <f t="shared" ca="1" si="77"/>
        <v>62.824572514249525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91975000</v>
      </c>
      <c r="J634" s="342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47010000</v>
      </c>
      <c r="K634" s="343">
        <f t="shared" ca="1" si="77"/>
        <v>51.111715139983694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2660</v>
      </c>
      <c r="J635" s="504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1308</v>
      </c>
      <c r="K635" s="486">
        <f t="shared" ca="1" si="77"/>
        <v>49.172932330827066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506225</v>
      </c>
      <c r="M636" s="511"/>
      <c r="N636" s="510">
        <f ca="1">SUM(N637:N638)</f>
        <v>19145</v>
      </c>
      <c r="O636" s="510">
        <f t="shared" ref="O636:O640" ca="1" si="78">+IF(L636&gt;0,N636*100/L636,0)</f>
        <v>3.7819151563040152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78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506225</v>
      </c>
      <c r="M638" s="521"/>
      <c r="N638" s="522">
        <f ca="1">SUM(N639:N640)</f>
        <v>19145</v>
      </c>
      <c r="O638" s="522">
        <f t="shared" ca="1" si="78"/>
        <v>3.7819151563040152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78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506225</v>
      </c>
      <c r="M640" s="521"/>
      <c r="N640" s="522">
        <f ca="1">SUM(N641:N644)</f>
        <v>19145</v>
      </c>
      <c r="O640" s="522">
        <f t="shared" ca="1" si="78"/>
        <v>3.7819151563040152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19145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กาญจนบุรี!J646+จันทบุรี!J646+ฉะเชิงเทรา!J646+ชลบุรี!J646+ชัยนาท!J646+ตราด!J646+นครนายก!J646+นครปฐม!J646+ปทุมธานี!J646+ประจวบคีรีขันธ์!J646+ปราจีนบุรี!J646+พระนครศรีอยุธยา!J646+เพชรบุรี!J646+ระยอง!J646+ราชบุรี!J646+ลพบุรี!J646+สระแก้ว!J646+สระบุรี!J646+สิงห์บุรี!J646+สุพรรณบุรี!J646+อ่างทอง!J646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กาญจนบุรี!J647+จันทบุรี!J647+ฉะเชิงเทรา!J647+ชลบุรี!J647+ชัยนาท!J647+ตราด!J647+นครนายก!J647+นครปฐม!J647+ปทุมธานี!J647+ประจวบคีรีขันธ์!J647+ปราจีนบุรี!J647+พระนครศรีอยุธยา!J647+เพชรบุรี!J647+ระยอง!J647+ราชบุรี!J647+ลพบุรี!J647+สระแก้ว!J647+สระบุรี!J647+สิงห์บุรี!J647+สุพรรณบุรี!J647+อ่างทอง!J647</f>
        <v>2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กาญจนบุรี!I648+จันทบุรี!I648+ฉะเชิงเทรา!I648+ชลบุรี!I648+ชัยนาท!I648+ตราด!I648+นครนายก!I648+นครปฐม!I648+ปทุมธานี!I648+ประจวบคีรีขันธ์!I648+ปราจีนบุรี!I648+พระนครศรีอยุธยา!I648+เพชรบุรี!I648+ระยอง!I648+ราชบุรี!I648+ลพบุรี!I648+สระแก้ว!I648+สระบุรี!I648+สิงห์บุรี!I648+สุพรรณบุรี!I648+อ่างทอง!I648</f>
        <v>924</v>
      </c>
      <c r="J648" s="536">
        <f ca="1">กาญจนบุรี!J648+จันทบุรี!J648+ฉะเชิงเทรา!J648+ชลบุรี!J648+ชัยนาท!J648+ตราด!J648+นครนายก!J648+นครปฐม!J648+ปทุมธานี!J648+ประจวบคีรีขันธ์!J648+ปราจีนบุรี!J648+พระนครศรีอยุธยา!J648+เพชรบุรี!J648+ระยอง!J648+ราชบุรี!J648+ลพบุรี!J648+สระแก้ว!J648+สระบุรี!J648+สิงห์บุรี!J648+สุพรรณบุรี!J648+อ่างทอง!J648</f>
        <v>0</v>
      </c>
      <c r="K648" s="537">
        <f t="shared" ref="K648:K651" ca="1" si="79">IF(I648&gt;0,J648*100/I648,0)</f>
        <v>0</v>
      </c>
      <c r="L648" s="522">
        <f ca="1">กาญจนบุรี!L648+จันทบุรี!L648+ฉะเชิงเทรา!L648+ชลบุรี!L648+ชัยนาท!L648+ตราด!L648+นครนายก!L648+นครปฐม!L648+ปทุมธานี!L648+ประจวบคีรีขันธ์!L648+ปราจีนบุรี!L648+พระนครศรีอยุธยา!L648+เพชรบุรี!L648+ระยอง!L648+ราชบุรี!L648+ลพบุรี!L648+สระแก้ว!L648+สระบุรี!L648+สิงห์บุรี!L648+สุพรรณบุรี!L648+อ่างทอง!L648</f>
        <v>73920</v>
      </c>
      <c r="M648" s="521"/>
      <c r="N648" s="538">
        <f ca="1">กาญจนบุรี!N648+จันทบุรี!N648+ฉะเชิงเทรา!N648+ชลบุรี!N648+ชัยนาท!N648+ตราด!N648+นครนายก!N648+นครปฐม!N648+ปทุมธานี!N648+ประจวบคีรีขันธ์!N648+ปราจีนบุรี!N648+พระนครศรีอยุธยา!N648+เพชรบุรี!N648+ระยอง!N648+ราชบุรี!N648+ลพบุรี!N648+สระแก้ว!N648+สระบุรี!N648+สิงห์บุรี!N648+สุพรรณบุรี!N648+อ่างทอง!N648</f>
        <v>0</v>
      </c>
      <c r="O648" s="537">
        <f t="shared" ref="O648:O651" ca="1" si="80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กาญจนบุรี!I649+จันทบุรี!I649+ฉะเชิงเทรา!I649+ชลบุรี!I649+ชัยนาท!I649+ตราด!I649+นครนายก!I649+นครปฐม!I649+ปทุมธานี!I649+ประจวบคีรีขันธ์!I649+ปราจีนบุรี!I649+พระนครศรีอยุธยา!I649+เพชรบุรี!I649+ระยอง!I649+ราชบุรี!I649+ลพบุรี!I649+สระแก้ว!I649+สระบุรี!I649+สิงห์บุรี!I649+สุพรรณบุรี!I649+อ่างทอง!I649</f>
        <v>349</v>
      </c>
      <c r="J649" s="536">
        <f ca="1">กาญจนบุรี!J649+จันทบุรี!J649+ฉะเชิงเทรา!J649+ชลบุรี!J649+ชัยนาท!J649+ตราด!J649+นครนายก!J649+นครปฐม!J649+ปทุมธานี!J649+ประจวบคีรีขันธ์!J649+ปราจีนบุรี!J649+พระนครศรีอยุธยา!J649+เพชรบุรี!J649+ระยอง!J649+ราชบุรี!J649+ลพบุรี!J649+สระแก้ว!J649+สระบุรี!J649+สิงห์บุรี!J649+สุพรรณบุรี!J649+อ่างทอง!J649</f>
        <v>7</v>
      </c>
      <c r="K649" s="537">
        <f t="shared" ca="1" si="79"/>
        <v>2.005730659025788</v>
      </c>
      <c r="L649" s="522">
        <f ca="1">กาญจนบุรี!L649+จันทบุรี!L649+ฉะเชิงเทรา!L649+ชลบุรี!L649+ชัยนาท!L649+ตราด!L649+นครนายก!L649+นครปฐม!L649+ปทุมธานี!L649+ประจวบคีรีขันธ์!L649+ปราจีนบุรี!L649+พระนครศรีอยุธยา!L649+เพชรบุรี!L649+ระยอง!L649+ราชบุรี!L649+ลพบุรี!L649+สระแก้ว!L649+สระบุรี!L649+สิงห์บุรี!L649+สุพรรณบุรี!L649+อ่างทอง!L649</f>
        <v>41880</v>
      </c>
      <c r="M649" s="521"/>
      <c r="N649" s="538">
        <f ca="1">กาญจนบุรี!N649+จันทบุรี!N649+ฉะเชิงเทรา!N649+ชลบุรี!N649+ชัยนาท!N649+ตราด!N649+นครนายก!N649+นครปฐม!N649+ปทุมธานี!N649+ประจวบคีรีขันธ์!N649+ปราจีนบุรี!N649+พระนครศรีอยุธยา!N649+เพชรบุรี!N649+ระยอง!N649+ราชบุรี!N649+ลพบุรี!N649+สระแก้ว!N649+สระบุรี!N649+สิงห์บุรี!N649+สุพรรณบุรี!N649+อ่างทอง!N649</f>
        <v>0</v>
      </c>
      <c r="O649" s="537">
        <f t="shared" ca="1" si="80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กาญจนบุรี!I650+จันทบุรี!I650+ฉะเชิงเทรา!I650+ชลบุรี!I650+ชัยนาท!I650+ตราด!I650+นครนายก!I650+นครปฐม!I650+ปทุมธานี!I650+ประจวบคีรีขันธ์!I650+ปราจีนบุรี!I650+พระนครศรีอยุธยา!I650+เพชรบุรี!I650+ระยอง!I650+ราชบุรี!I650+ลพบุรี!I650+สระแก้ว!I650+สระบุรี!I650+สิงห์บุรี!I650+สุพรรณบุรี!I650+อ่างทอง!I650</f>
        <v>2087</v>
      </c>
      <c r="J650" s="536">
        <f ca="1">กาญจนบุรี!J650+จันทบุรี!J650+ฉะเชิงเทรา!J650+ชลบุรี!J650+ชัยนาท!J650+ตราด!J650+นครนายก!J650+นครปฐม!J650+ปทุมธานี!J650+ประจวบคีรีขันธ์!J650+ปราจีนบุรี!J650+พระนครศรีอยุธยา!J650+เพชรบุรี!J650+ระยอง!J650+ราชบุรี!J650+ลพบุรี!J650+สระแก้ว!J650+สระบุรี!J650+สิงห์บุรี!J650+สุพรรณบุรี!J650+อ่างทอง!J650</f>
        <v>0</v>
      </c>
      <c r="K650" s="537">
        <f t="shared" ca="1" si="79"/>
        <v>0</v>
      </c>
      <c r="L650" s="522">
        <f ca="1">กาญจนบุรี!L650+จันทบุรี!L650+ฉะเชิงเทรา!L650+ชลบุรี!L650+ชัยนาท!L650+ตราด!L650+นครนายก!L650+นครปฐม!L650+ปทุมธานี!L650+ประจวบคีรีขันธ์!L650+ปราจีนบุรี!L650+พระนครศรีอยุธยา!L650+เพชรบุรี!L650+ระยอง!L650+ราชบุรี!L650+ลพบุรี!L650+สระแก้ว!L650+สระบุรี!L650+สิงห์บุรี!L650+สุพรรณบุรี!L650+อ่างทอง!L650</f>
        <v>10435</v>
      </c>
      <c r="M650" s="521"/>
      <c r="N650" s="538">
        <f ca="1">กาญจนบุรี!N650+จันทบุรี!N650+ฉะเชิงเทรา!N650+ชลบุรี!N650+ชัยนาท!N650+ตราด!N650+นครนายก!N650+นครปฐม!N650+ปทุมธานี!N650+ประจวบคีรีขันธ์!N650+ปราจีนบุรี!N650+พระนครศรีอยุธยา!N650+เพชรบุรี!N650+ระยอง!N650+ราชบุรี!N650+ลพบุรี!N650+สระแก้ว!N650+สระบุรี!N650+สิงห์บุรี!N650+สุพรรณบุรี!N650+อ่างทอง!N650</f>
        <v>0</v>
      </c>
      <c r="O650" s="537">
        <f t="shared" ca="1" si="80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กาญจนบุรี!I651+จันทบุรี!I651+ฉะเชิงเทรา!I651+ชลบุรี!I651+ชัยนาท!I651+ตราด!I651+นครนายก!I651+นครปฐม!I651+ปทุมธานี!I651+ประจวบคีรีขันธ์!I651+ปราจีนบุรี!I651+พระนครศรีอยุธยา!I651+เพชรบุรี!I651+ระยอง!I651+ราชบุรี!I651+ลพบุรี!I651+สระแก้ว!I651+สระบุรี!I651+สิงห์บุรี!I651+สุพรรณบุรี!I651+อ่างทอง!I651</f>
        <v>1862</v>
      </c>
      <c r="J651" s="536">
        <f ca="1">J657+J660</f>
        <v>842</v>
      </c>
      <c r="K651" s="537">
        <f t="shared" ca="1" si="79"/>
        <v>45.220193340494092</v>
      </c>
      <c r="L651" s="522">
        <f ca="1">กาญจนบุรี!L651+จันทบุรี!L651+ฉะเชิงเทรา!L651+ชลบุรี!L651+ชัยนาท!L651+ตราด!L651+นครนายก!L651+นครปฐม!L651+ปทุมธานี!L651+ประจวบคีรีขันธ์!L651+ปราจีนบุรี!L651+พระนครศรีอยุธยา!L651+เพชรบุรี!L651+ระยอง!L651+ราชบุรี!L651+ลพบุรี!L651+สระแก้ว!L651+สระบุรี!L651+สิงห์บุรี!L651+สุพรรณบุรี!L651+อ่างทอง!L651</f>
        <v>46550</v>
      </c>
      <c r="M651" s="521"/>
      <c r="N651" s="538">
        <f ca="1">กาญจนบุรี!N651+จันทบุรี!N651+ฉะเชิงเทรา!N651+ชลบุรี!N651+ชัยนาท!N651+ตราด!N651+นครนายก!N651+นครปฐม!N651+ปทุมธานี!N651+ประจวบคีรีขันธ์!N651+ปราจีนบุรี!N651+พระนครศรีอยุธยา!N651+เพชรบุรี!N651+ระยอง!N651+ราชบุรี!N651+ลพบุรี!N651+สระแก้ว!N651+สระบุรี!N651+สิงห์บุรี!N651+สุพรรณบุรี!N651+อ่างทอง!N651</f>
        <v>6840</v>
      </c>
      <c r="O651" s="537">
        <f t="shared" ca="1" si="80"/>
        <v>14.693877551020408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กาญจนบุรี!J652+จันทบุรี!J652+ฉะเชิงเทรา!J652+ชลบุรี!J652+ชัยนาท!J652+ตราด!J652+นครนายก!J652+นครปฐม!J652+ปทุมธานี!J652+ประจวบคีรีขันธ์!J652+ปราจีนบุรี!J652+พระนครศรีอยุธยา!J652+เพชรบุรี!J652+ระยอง!J652+ราชบุรี!J652+ลพบุรี!J652+สระแก้ว!J652+สระบุรี!J652+สิงห์บุรี!J652+สุพรรณบุรี!J652+อ่างทอง!J652</f>
        <v>44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กาญจนบุรี!J653+จันทบุรี!J653+ฉะเชิงเทรา!J653+ชลบุรี!J653+ชัยนาท!J653+ตราด!J653+นครนายก!J653+นครปฐม!J653+ปทุมธานี!J653+ประจวบคีรีขันธ์!J653+ปราจีนบุรี!J653+พระนครศรีอยุธยา!J653+เพชรบุรี!J653+ระยอง!J653+ราชบุรี!J653+ลพบุรี!J653+สระแก้ว!J653+สระบุรี!J653+สิงห์บุรี!J653+สุพรรณบุรี!J653+อ่างทอง!J653</f>
        <v>748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กาญจนบุรี!J655+จันทบุรี!J655+ฉะเชิงเทรา!J655+ชลบุรี!J655+ชัยนาท!J655+ตราด!J655+นครนายก!J655+นครปฐม!J655+ปทุมธานี!J655+ประจวบคีรีขันธ์!J655+ปราจีนบุรี!J655+พระนครศรีอยุธยา!J655+เพชรบุรี!J655+ระยอง!J655+ราชบุรี!J655+ลพบุรี!J655+สระแก้ว!J655+สระบุรี!J655+สิงห์บุรี!J655+สุพรรณบุรี!J655+อ่างทอง!J655</f>
        <v>8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กาญจนบุรี!J656+จันทบุรี!J656+ฉะเชิงเทรา!J656+ชลบุรี!J656+ชัยนาท!J656+ตราด!J656+นครนายก!J656+นครปฐม!J656+ปทุมธานี!J656+ประจวบคีรีขันธ์!J656+ปราจีนบุรี!J656+พระนครศรีอยุธยา!J656+เพชรบุรี!J656+ระยอง!J656+ราชบุรี!J656+ลพบุรี!J656+สระแก้ว!J656+สระบุรี!J656+สิงห์บุรี!J656+สุพรรณบุรี!J656+อ่างทอง!J656</f>
        <v>8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กาญจนบุรี!J657+จันทบุรี!J657+ฉะเชิงเทรา!J657+ชลบุรี!J657+ชัยนาท!J657+ตราด!J657+นครนายก!J657+นครปฐม!J657+ปทุมธานี!J657+ประจวบคีรีขันธ์!J657+ปราจีนบุรี!J657+พระนครศรีอยุธยา!J657+เพชรบุรี!J657+ระยอง!J657+ราชบุรี!J657+ลพบุรี!J657+สระแก้ว!J657+สระบุรี!J657+สิงห์บุรี!J657+สุพรรณบุรี!J657+อ่างทอง!J657</f>
        <v>138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กาญจนบุรี!J658+จันทบุรี!J658+ฉะเชิงเทรา!J658+ชลบุรี!J658+ชัยนาท!J658+ตราด!J658+นครนายก!J658+นครปฐม!J658+ปทุมธานี!J658+ประจวบคีรีขันธ์!J658+ปราจีนบุรี!J658+พระนครศรีอยุธยา!J658+เพชรบุรี!J658+ระยอง!J658+ราชบุรี!J658+ลพบุรี!J658+สระแก้ว!J658+สระบุรี!J658+สิงห์บุรี!J658+สุพรรณบุรี!J658+อ่างทอง!J658</f>
        <v>52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กาญจนบุรี!J659+จันทบุรี!J659+ฉะเชิงเทรา!J659+ชลบุรี!J659+ชัยนาท!J659+ตราด!J659+นครนายก!J659+นครปฐม!J659+ปทุมธานี!J659+ประจวบคีรีขันธ์!J659+ปราจีนบุรี!J659+พระนครศรีอยุธยา!J659+เพชรบุรี!J659+ระยอง!J659+ราชบุรี!J659+ลพบุรี!J659+สระแก้ว!J659+สระบุรี!J659+สิงห์บุรี!J659+สุพรรณบุรี!J659+อ่างทอง!J659</f>
        <v>52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กาญจนบุรี!J660+จันทบุรี!J660+ฉะเชิงเทรา!J660+ชลบุรี!J660+ชัยนาท!J660+ตราด!J660+นครนายก!J660+นครปฐม!J660+ปทุมธานี!J660+ประจวบคีรีขันธ์!J660+ปราจีนบุรี!J660+พระนครศรีอยุธยา!J660+เพชรบุรี!J660+ระยอง!J660+ราชบุรี!J660+ลพบุรี!J660+สระแก้ว!J660+สระบุรี!J660+สิงห์บุรี!J660+สุพรรณบุรี!J660+อ่างทอง!J660</f>
        <v>704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กาญจนบุรี!J661+จันทบุรี!J661+ฉะเชิงเทรา!J661+ชลบุรี!J661+ชัยนาท!J661+ตราด!J661+นครนายก!J661+นครปฐม!J661+ปทุมธานี!J661+ประจวบคีรีขันธ์!J661+ปราจีนบุรี!J661+พระนครศรีอยุธยา!J661+เพชรบุรี!J661+ระยอง!J661+ราชบุรี!J661+ลพบุรี!J661+สระแก้ว!J661+สระบุรี!J661+สิงห์บุรี!J661+สุพรรณบุรี!J661+อ่างทอง!J661</f>
        <v>0</v>
      </c>
      <c r="K661" s="537"/>
      <c r="L661" s="522">
        <f ca="1">กาญจนบุรี!L661+จันทบุรี!L661+ฉะเชิงเทรา!L661+ชลบุรี!L661+ชัยนาท!L661+ตราด!L661+นครนายก!L661+นครปฐม!L661+ปทุมธานี!L661+ประจวบคีรีขันธ์!L661+ปราจีนบุรี!L661+พระนครศรีอยุธยา!L661+เพชรบุรี!L661+ระยอง!L661+ราชบุรี!L661+ลพบุรี!L661+สระแก้ว!L661+สระบุรี!L661+สิงห์บุรี!L661+สุพรรณบุรี!L661+อ่างทอง!L661</f>
        <v>112560</v>
      </c>
      <c r="M661" s="521"/>
      <c r="N661" s="538">
        <f ca="1">กาญจนบุรี!N661+จันทบุรี!N661+ฉะเชิงเทรา!N661+ชลบุรี!N661+ชัยนาท!N661+ตราด!N661+นครนายก!N661+นครปฐม!N661+ปทุมธานี!N661+ประจวบคีรีขันธ์!N661+ปราจีนบุรี!N661+พระนครศรีอยุธยา!N661+เพชรบุรี!N661+ระยอง!N661+ราชบุรี!N661+ลพบุรี!N661+สระแก้ว!N661+สระบุรี!N661+สิงห์บุรี!N661+สุพรรณบุรี!N661+อ่างทอง!N661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กาญจนบุรี!J662+จันทบุรี!J662+ฉะเชิงเทรา!J662+ชลบุรี!J662+ชัยนาท!J662+ตราด!J662+นครนายก!J662+นครปฐม!J662+ปทุมธานี!J662+ประจวบคีรีขันธ์!J662+ปราจีนบุรี!J662+พระนครศรีอยุธยา!J662+เพชรบุรี!J662+ระยอง!J662+ราชบุรี!J662+ลพบุรี!J662+สระแก้ว!J662+สระบุรี!J662+สิงห์บุรี!J662+สุพรรณบุรี!J662+อ่างทอง!J662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กาญจนบุรี!I663+จันทบุรี!I663+ฉะเชิงเทรา!I663+ชลบุรี!I663+ชัยนาท!I663+ตราด!I663+นครนายก!I663+นครปฐม!I663+ปทุมธานี!I663+ประจวบคีรีขันธ์!I663+ปราจีนบุรี!I663+พระนครศรีอยุธยา!I663+เพชรบุรี!I663+ระยอง!I663+ราชบุรี!I663+ลพบุรี!I663+สระแก้ว!I663+สระบุรี!I663+สิงห์บุรี!I663+สุพรรณบุรี!I663+อ่างทอง!I663</f>
        <v>2814</v>
      </c>
      <c r="J663" s="536">
        <f ca="1">กาญจนบุรี!J663+จันทบุรี!J663+ฉะเชิงเทรา!J663+ชลบุรี!J663+ชัยนาท!J663+ตราด!J663+นครนายก!J663+นครปฐม!J663+ปทุมธานี!J663+ประจวบคีรีขันธ์!J663+ปราจีนบุรี!J663+พระนครศรีอยุธยา!J663+เพชรบุรี!J663+ระยอง!J663+ราชบุรี!J663+ลพบุรี!J663+สระแก้ว!J663+สระบุรี!J663+สิงห์บุรี!J663+สุพรรณบุรี!J663+อ่างทอง!J663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กาญจนบุรี!I665+จันทบุรี!I665+ฉะเชิงเทรา!I665+ชลบุรี!I665+ชัยนาท!I665+ตราด!I665+นครนายก!I665+นครปฐม!I665+ปทุมธานี!I665+ประจวบคีรีขันธ์!I665+ปราจีนบุรี!I665+พระนครศรีอยุธยา!I665+เพชรบุรี!I665+ระยอง!I665+ราชบุรี!I665+ลพบุรี!I665+สระแก้ว!I665+สระบุรี!I665+สิงห์บุรี!I665+สุพรรณบุรี!I665+อ่างทอง!I665</f>
        <v>186</v>
      </c>
      <c r="J665" s="536">
        <f ca="1">กาญจนบุรี!J665+จันทบุรี!J665+ฉะเชิงเทรา!J665+ชลบุรี!J665+ชัยนาท!J665+ตราด!J665+นครนายก!J665+นครปฐม!J665+ปทุมธานี!J665+ประจวบคีรีขันธ์!J665+ปราจีนบุรี!J665+พระนครศรีอยุธยา!J665+เพชรบุรี!J665+ระยอง!J665+ราชบุรี!J665+ลพบุรี!J665+สระแก้ว!J665+สระบุรี!J665+สิงห์บุรี!J665+สุพรรณบุรี!J665+อ่างทอง!J665</f>
        <v>4</v>
      </c>
      <c r="K665" s="537">
        <f ca="1">IF(I665&gt;0,J665*100/I665,0)</f>
        <v>2.150537634408602</v>
      </c>
      <c r="L665" s="522">
        <f ca="1">กาญจนบุรี!L665+จันทบุรี!L665+ฉะเชิงเทรา!L665+ชลบุรี!L665+ชัยนาท!L665+ตราด!L665+นครนายก!L665+นครปฐม!L665+ปทุมธานี!L665+ประจวบคีรีขันธ์!L665+ปราจีนบุรี!L665+พระนครศรีอยุธยา!L665+เพชรบุรี!L665+ระยอง!L665+ราชบุรี!L665+ลพบุรี!L665+สระแก้ว!L665+สระบุรี!L665+สิงห์บุรี!L665+สุพรรณบุรี!L665+อ่างทอง!L665</f>
        <v>22320</v>
      </c>
      <c r="M665" s="521"/>
      <c r="N665" s="538">
        <f ca="1">กาญจนบุรี!N665+จันทบุรี!N665+ฉะเชิงเทรา!N665+ชลบุรี!N665+ชัยนาท!N665+ตราด!N665+นครนายก!N665+นครปฐม!N665+ปทุมธานี!N665+ประจวบคีรีขันธ์!N665+ปราจีนบุรี!N665+พระนครศรีอยุธยา!N665+เพชรบุรี!N665+ระยอง!N665+ราชบุรี!N665+ลพบุรี!N665+สระแก้ว!N665+สระบุรี!N665+สิงห์บุรี!N665+สุพรรณบุรี!N665+อ่างทอง!N665</f>
        <v>1355</v>
      </c>
      <c r="O665" s="537">
        <f ca="1">IF(L665&gt;0,N665*100/L665,0)</f>
        <v>6.0707885304659497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กาญจนบุรี!J666+จันทบุรี!J666+ฉะเชิงเทรา!J666+ชลบุรี!J666+ชัยนาท!J666+ตราด!J666+นครนายก!J666+นครปฐม!J666+ปทุมธานี!J666+ประจวบคีรีขันธ์!J666+ปราจีนบุรี!J666+พระนครศรีอยุธยา!J666+เพชรบุรี!J666+ระยอง!J666+ราชบุรี!J666+ลพบุรี!J666+สระแก้ว!J666+สระบุรี!J666+สิงห์บุรี!J666+สุพรรณบุรี!J666+อ่างทอง!J666</f>
        <v>4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กาญจนบุรี!J667+จันทบุรี!J667+ฉะเชิงเทรา!J667+ชลบุรี!J667+ชัยนาท!J667+ตราด!J667+นครนายก!J667+นครปฐม!J667+ปทุมธานี!J667+ประจวบคีรีขันธ์!J667+ปราจีนบุรี!J667+พระนครศรีอยุธยา!J667+เพชรบุรี!J667+ระยอง!J667+ราชบุรี!J667+ลพบุรี!J667+สระแก้ว!J667+สระบุรี!J667+สิงห์บุรี!J667+สุพรรณบุรี!J667+อ่างทอง!J667</f>
        <v>44.64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กาญจนบุรี!I668+จันทบุรี!I668+ฉะเชิงเทรา!I668+ชลบุรี!I668+ชัยนาท!I668+ตราด!I668+นครนายก!I668+นครปฐม!I668+ปทุมธานี!I668+ประจวบคีรีขันธ์!I668+ปราจีนบุรี!I668+พระนครศรีอยุธยา!I668+เพชรบุรี!I668+ระยอง!I668+ราชบุรี!I668+ลพบุรี!I668+สระแก้ว!I668+สระบุรี!I668+สิงห์บุรี!I668+สุพรรณบุรี!I668+อ่างทอง!I668</f>
        <v>142</v>
      </c>
      <c r="J668" s="536">
        <f ca="1">กาญจนบุรี!J668+จันทบุรี!J668+ฉะเชิงเทรา!J668+ชลบุรี!J668+ชัยนาท!J668+ตราด!J668+นครนายก!J668+นครปฐม!J668+ปทุมธานี!J668+ประจวบคีรีขันธ์!J668+ปราจีนบุรี!J668+พระนครศรีอยุธยา!J668+เพชรบุรี!J668+ระยอง!J668+ราชบุรี!J668+ลพบุรี!J668+สระแก้ว!J668+สระบุรี!J668+สิงห์บุรี!J668+สุพรรณบุรี!J668+อ่างทอง!J668</f>
        <v>6</v>
      </c>
      <c r="K668" s="537">
        <f ca="1">IF(I668&gt;0,J668*100/I668,0)</f>
        <v>4.225352112676056</v>
      </c>
      <c r="L668" s="522">
        <f ca="1">กาญจนบุรี!L668+จันทบุรี!L668+ฉะเชิงเทรา!L668+ชลบุรี!L668+ชัยนาท!L668+ตราด!L668+นครนายก!L668+นครปฐม!L668+ปทุมธานี!L668+ประจวบคีรีขันธ์!L668+ปราจีนบุรี!L668+พระนครศรีอยุธยา!L668+เพชรบุรี!L668+ระยอง!L668+ราชบุรี!L668+ลพบุรี!L668+สระแก้ว!L668+สระบุรี!L668+สิงห์บุรี!L668+สุพรรณบุรี!L668+อ่างทอง!L668</f>
        <v>107440</v>
      </c>
      <c r="M668" s="521"/>
      <c r="N668" s="538">
        <f ca="1">กาญจนบุรี!N668+จันทบุรี!N668+ฉะเชิงเทรา!N668+ชลบุรี!N668+ชัยนาท!N668+ตราด!N668+นครนายก!N668+นครปฐม!N668+ปทุมธานี!N668+ประจวบคีรีขันธ์!N668+ปราจีนบุรี!N668+พระนครศรีอยุธยา!N668+เพชรบุรี!N668+ระยอง!N668+ราชบุรี!N668+ลพบุรี!N668+สระแก้ว!N668+สระบุรี!N668+สิงห์บุรี!N668+สุพรรณบุรี!N668+อ่างทอง!N668</f>
        <v>2360</v>
      </c>
      <c r="O668" s="537">
        <f ca="1">IF(L668&gt;0,N668*100/L668,0)</f>
        <v>2.1965748324646315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กาญจนบุรี!J669+จันทบุรี!J669+ฉะเชิงเทรา!J669+ชลบุรี!J669+ชัยนาท!J669+ตราด!J669+นครนายก!J669+นครปฐม!J669+ปทุมธานี!J669+ประจวบคีรีขันธ์!J669+ปราจีนบุรี!J669+พระนครศรีอยุธยา!J669+เพชรบุรี!J669+ระยอง!J669+ราชบุรี!J669+ลพบุรี!J669+สระแก้ว!J669+สระบุรี!J669+สิงห์บุรี!J669+สุพรรณบุรี!J669+อ่างทอง!J669</f>
        <v>6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กาญจนบุรี!J670+จันทบุรี!J670+ฉะเชิงเทรา!J670+ชลบุรี!J670+ชัยนาท!J670+ตราด!J670+นครนายก!J670+นครปฐม!J670+ปทุมธานี!J670+ประจวบคีรีขันธ์!J670+ปราจีนบุรี!J670+พระนครศรีอยุธยา!J670+เพชรบุรี!J670+ระยอง!J670+ราชบุรี!J670+ลพบุรี!J670+สระแก้ว!J670+สระบุรี!J670+สิงห์บุรี!J670+สุพรรณบุรี!J670+อ่างทอง!J670</f>
        <v>35.700000000000003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กาญจนบุรี!I671+จันทบุรี!I671+ฉะเชิงเทรา!I671+ชลบุรี!I671+ชัยนาท!I671+ตราด!I671+นครนายก!I671+นครปฐม!I671+ปทุมธานี!I671+ประจวบคีรีขันธ์!I671+ปราจีนบุรี!I671+พระนครศรีอยุธยา!I671+เพชรบุรี!I671+ระยอง!I671+ราชบุรี!I671+ลพบุรี!I671+สระแก้ว!I671+สระบุรี!I671+สิงห์บุรี!I671+สุพรรณบุรี!I671+อ่างทอง!I671</f>
        <v>1139</v>
      </c>
      <c r="J671" s="536">
        <f ca="1">J674+J677</f>
        <v>273</v>
      </c>
      <c r="K671" s="537">
        <f ca="1">IF(I671&gt;0,J671*100/I671,0)</f>
        <v>23.968393327480246</v>
      </c>
      <c r="L671" s="522">
        <f ca="1">กาญจนบุรี!L671+จันทบุรี!L671+ฉะเชิงเทรา!L671+ชลบุรี!L671+ชัยนาท!L671+ตราด!L671+นครนายก!L671+นครปฐม!L671+ปทุมธานี!L671+ประจวบคีรีขันธ์!L671+ปราจีนบุรี!L671+พระนครศรีอยุธยา!L671+เพชรบุรี!L671+ระยอง!L671+ราชบุรี!L671+ลพบุรี!L671+สระแก้ว!L671+สระบุรี!L671+สิงห์บุรี!L671+สุพรรณบุรี!L671+อ่างทอง!L671</f>
        <v>91120</v>
      </c>
      <c r="M671" s="521"/>
      <c r="N671" s="538">
        <f ca="1">กาญจนบุรี!N671+จันทบุรี!N671+ฉะเชิงเทรา!N671+ชลบุรี!N671+ชัยนาท!N671+ตราด!N671+นครนายก!N671+นครปฐม!N671+ปทุมธานี!N671+ประจวบคีรีขันธ์!N671+ปราจีนบุรี!N671+พระนครศรีอยุธยา!N671+เพชรบุรี!N671+ระยอง!N671+ราชบุรี!N671+ลพบุรี!N671+สระแก้ว!N671+สระบุรี!N671+สิงห์บุรี!N671+สุพรรณบุรี!N671+อ่างทอง!N671</f>
        <v>8590</v>
      </c>
      <c r="O671" s="537">
        <f ca="1">IF(L671&gt;0,N671*100/L671,0)</f>
        <v>9.4271290605794551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กาญจนบุรี!J672+จันทบุรี!J672+ฉะเชิงเทรา!J672+ชลบุรี!J672+ชัยนาท!J672+ตราด!J672+นครนายก!J672+นครปฐม!J672+ปทุมธานี!J672+ประจวบคีรีขันธ์!J672+ปราจีนบุรี!J672+พระนครศรีอยุธยา!J672+เพชรบุรี!J672+ระยอง!J672+ราชบุรี!J672+ลพบุรี!J672+สระแก้ว!J672+สระบุรี!J672+สิงห์บุรี!J672+สุพรรณบุรี!J672+อ่างทอง!J672</f>
        <v>1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กาญจนบุรี!J673+จันทบุรี!J673+ฉะเชิงเทรา!J673+ชลบุรี!J673+ชัยนาท!J673+ตราด!J673+นครนายก!J673+นครปฐม!J673+ปทุมธานี!J673+ประจวบคีรีขันธ์!J673+ปราจีนบุรี!J673+พระนครศรีอยุธยา!J673+เพชรบุรี!J673+ระยอง!J673+ราชบุรี!J673+ลพบุรี!J673+สระแก้ว!J673+สระบุรี!J673+สิงห์บุรี!J673+สุพรรณบุรี!J673+อ่างทอง!J673</f>
        <v>1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กาญจนบุรี!J674+จันทบุรี!J674+ฉะเชิงเทรา!J674+ชลบุรี!J674+ชัยนาท!J674+ตราด!J674+นครนายก!J674+นครปฐม!J674+ปทุมธานี!J674+ประจวบคีรีขันธ์!J674+ปราจีนบุรี!J674+พระนครศรีอยุธยา!J674+เพชรบุรี!J674+ระยอง!J674+ราชบุรี!J674+ลพบุรี!J674+สระแก้ว!J674+สระบุรี!J674+สิงห์บุรี!J674+สุพรรณบุรี!J674+อ่างทอง!J674</f>
        <v>36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กาญจนบุรี!J675+จันทบุรี!J675+ฉะเชิงเทรา!J675+ชลบุรี!J675+ชัยนาท!J675+ตราด!J675+นครนายก!J675+นครปฐม!J675+ปทุมธานี!J675+ประจวบคีรีขันธ์!J675+ปราจีนบุรี!J675+พระนครศรีอยุธยา!J675+เพชรบุรี!J675+ระยอง!J675+ราชบุรี!J675+ลพบุรี!J675+สระแก้ว!J675+สระบุรี!J675+สิงห์บุรี!J675+สุพรรณบุรี!J675+อ่างทอง!J675</f>
        <v>4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กาญจนบุรี!J676+จันทบุรี!J676+ฉะเชิงเทรา!J676+ชลบุรี!J676+ชัยนาท!J676+ตราด!J676+นครนายก!J676+นครปฐม!J676+ปทุมธานี!J676+ประจวบคีรีขันธ์!J676+ปราจีนบุรี!J676+พระนครศรีอยุธยา!J676+เพชรบุรี!J676+ระยอง!J676+ราชบุรี!J676+ลพบุรี!J676+สระแก้ว!J676+สระบุรี!J676+สิงห์บุรี!J676+สุพรรณบุรี!J676+อ่างทอง!J676</f>
        <v>4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กาญจนบุรี!J677+จันทบุรี!J677+ฉะเชิงเทรา!J677+ชลบุรี!J677+ชัยนาท!J677+ตราด!J677+นครนายก!J677+นครปฐม!J677+ปทุมธานี!J677+ประจวบคีรีขันธ์!J677+ปราจีนบุรี!J677+พระนครศรีอยุธยา!J677+เพชรบุรี!J677+ระยอง!J677+ราชบุรี!J677+ลพบุรี!J677+สระแก้ว!J677+สระบุรี!J677+สิงห์บุรี!J677+สุพรรณบุรี!J677+อ่างทอง!J677</f>
        <v>237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276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3292795</v>
      </c>
      <c r="M8" s="23">
        <f t="shared" ca="1" si="0"/>
        <v>2156040</v>
      </c>
      <c r="N8" s="23">
        <f t="shared" ca="1" si="0"/>
        <v>2245281.96</v>
      </c>
      <c r="O8" s="22">
        <f t="shared" ref="O8:O16" ca="1" si="1">IF(L8&gt;0,N8*100/L8,0)</f>
        <v>68.187723803030551</v>
      </c>
      <c r="P8" s="22">
        <f t="shared" ref="P8:P16" ca="1" si="2">IF(M8&gt;0,N8*100/M8,0)</f>
        <v>104.13916068347525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3292795</v>
      </c>
      <c r="M10" s="30">
        <f t="shared" ca="1" si="4"/>
        <v>2156040</v>
      </c>
      <c r="N10" s="30">
        <f t="shared" ca="1" si="4"/>
        <v>2245281.96</v>
      </c>
      <c r="O10" s="29">
        <f t="shared" ca="1" si="1"/>
        <v>68.187723803030551</v>
      </c>
      <c r="P10" s="29">
        <f t="shared" ca="1" si="2"/>
        <v>104.13916068347525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2942195</v>
      </c>
      <c r="M12" s="38">
        <f t="shared" ca="1" si="6"/>
        <v>1805440</v>
      </c>
      <c r="N12" s="38">
        <f t="shared" ca="1" si="6"/>
        <v>1894681.96</v>
      </c>
      <c r="O12" s="38">
        <f t="shared" ca="1" si="1"/>
        <v>64.396885998378764</v>
      </c>
      <c r="P12" s="38">
        <f t="shared" ca="1" si="2"/>
        <v>104.94294797943992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1897800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1044395</v>
      </c>
      <c r="M14" s="38">
        <f t="shared" si="8"/>
        <v>0</v>
      </c>
      <c r="N14" s="38">
        <f t="shared" ca="1" si="8"/>
        <v>430233.03</v>
      </c>
      <c r="O14" s="38">
        <f t="shared" ca="1" si="1"/>
        <v>41.194474312879706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350600</v>
      </c>
      <c r="M16" s="38">
        <f t="shared" ca="1" si="10"/>
        <v>350600</v>
      </c>
      <c r="N16" s="38">
        <f t="shared" ca="1" si="10"/>
        <v>350600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2726905</v>
      </c>
      <c r="M18" s="23">
        <f t="shared" ca="1" si="11"/>
        <v>2156040</v>
      </c>
      <c r="N18" s="23">
        <f t="shared" ca="1" si="11"/>
        <v>1815048.93</v>
      </c>
      <c r="O18" s="22">
        <f t="shared" ref="O18:O20" ca="1" si="12">IF(L18&gt;0,N18*100/L18,0)</f>
        <v>66.560768710314434</v>
      </c>
      <c r="P18" s="22">
        <f t="shared" ref="P18:P26" ca="1" si="13">IF(M18&gt;0,N18*100/M18,0)</f>
        <v>84.184381087549397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2726905</v>
      </c>
      <c r="M20" s="30">
        <f t="shared" ca="1" si="15"/>
        <v>2156040</v>
      </c>
      <c r="N20" s="30">
        <f t="shared" ca="1" si="15"/>
        <v>1815048.93</v>
      </c>
      <c r="O20" s="29">
        <f t="shared" ca="1" si="12"/>
        <v>66.560768710314434</v>
      </c>
      <c r="P20" s="29">
        <f t="shared" ca="1" si="13"/>
        <v>84.184381087549397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2376305</v>
      </c>
      <c r="M22" s="41">
        <f t="shared" ca="1" si="18"/>
        <v>1805440</v>
      </c>
      <c r="N22" s="38">
        <f t="shared" ca="1" si="18"/>
        <v>1464448.93</v>
      </c>
      <c r="O22" s="38">
        <f t="shared" ca="1" si="17"/>
        <v>61.627145084490415</v>
      </c>
      <c r="P22" s="38">
        <f t="shared" ca="1" si="13"/>
        <v>81.113131978908186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1897800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478505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350600</v>
      </c>
      <c r="M26" s="49">
        <f t="shared" ca="1" si="22"/>
        <v>350600</v>
      </c>
      <c r="N26" s="49">
        <f t="shared" ca="1" si="22"/>
        <v>350600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565890</v>
      </c>
      <c r="M28" s="23">
        <f t="shared" si="23"/>
        <v>0</v>
      </c>
      <c r="N28" s="23">
        <f t="shared" ca="1" si="23"/>
        <v>430233.03</v>
      </c>
      <c r="O28" s="22">
        <f t="shared" ref="O28:O30" ca="1" si="24">IF(L28&gt;0,N28*100/L28,0)</f>
        <v>76.027678524094782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565890</v>
      </c>
      <c r="M30" s="30">
        <f t="shared" si="27"/>
        <v>0</v>
      </c>
      <c r="N30" s="30">
        <f t="shared" ca="1" si="27"/>
        <v>430233.03</v>
      </c>
      <c r="O30" s="29">
        <f t="shared" ca="1" si="24"/>
        <v>76.027678524094782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565890</v>
      </c>
      <c r="M32" s="38">
        <f t="shared" si="30"/>
        <v>0</v>
      </c>
      <c r="N32" s="38">
        <f t="shared" ca="1" si="30"/>
        <v>430233.03</v>
      </c>
      <c r="O32" s="38">
        <f t="shared" ca="1" si="29"/>
        <v>76.027678524094782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565890</v>
      </c>
      <c r="M34" s="38">
        <f t="shared" si="32"/>
        <v>0</v>
      </c>
      <c r="N34" s="38">
        <f t="shared" ca="1" si="32"/>
        <v>430233.03</v>
      </c>
      <c r="O34" s="38">
        <f t="shared" ca="1" si="29"/>
        <v>76.027678524094782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2726905</v>
      </c>
      <c r="M37" s="54">
        <f t="shared" ca="1" si="33"/>
        <v>2156040</v>
      </c>
      <c r="N37" s="54">
        <f t="shared" ca="1" si="33"/>
        <v>1815048.93</v>
      </c>
      <c r="O37" s="55">
        <f t="shared" ca="1" si="29"/>
        <v>66.560768710314434</v>
      </c>
      <c r="P37" s="55">
        <f t="shared" ca="1" si="25"/>
        <v>84.184381087549397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1011300</v>
      </c>
      <c r="M41" s="78">
        <f t="shared" ca="1" si="34"/>
        <v>846200</v>
      </c>
      <c r="N41" s="78">
        <f t="shared" ca="1" si="34"/>
        <v>804226.55</v>
      </c>
      <c r="O41" s="77">
        <f t="shared" ref="O41:O43" ca="1" si="35">IF(L41&gt;0,N41*100/L41,0)</f>
        <v>79.52403342232769</v>
      </c>
      <c r="P41" s="77">
        <f t="shared" ref="P41:P43" ca="1" si="36">IF(M41&gt;0,N41*100/M41,0)</f>
        <v>95.039771921531553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1011300</v>
      </c>
      <c r="M43" s="78">
        <f t="shared" ca="1" si="38"/>
        <v>846200</v>
      </c>
      <c r="N43" s="78">
        <f t="shared" ca="1" si="38"/>
        <v>804226.55</v>
      </c>
      <c r="O43" s="77">
        <f t="shared" ca="1" si="35"/>
        <v>79.52403342232769</v>
      </c>
      <c r="P43" s="77">
        <f t="shared" ca="1" si="36"/>
        <v>95.039771921531553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660700</v>
      </c>
      <c r="M45" s="49">
        <f ca="1">IFERROR(__xludf.DUMMYFUNCTION("IMPORTRANGE(""https://docs.google.com/spreadsheets/d/1Yj_ptqi66GCucihVvJfMjLAmec39IyEx_6qawtMGysU/edit?usp=sharing"",""สบก!Q67"")"),495600)</f>
        <v>495600</v>
      </c>
      <c r="N45" s="49">
        <f ca="1">IFERROR(__xludf.DUMMYFUNCTION("IMPORTRANGE(""https://docs.google.com/spreadsheets/d/1Yj_ptqi66GCucihVvJfMjLAmec39IyEx_6qawtMGysU/edit?usp=sharing"",""สบก!R67"")"),453626.55)</f>
        <v>453626.55</v>
      </c>
      <c r="O45" s="38">
        <f ca="1">IF(L45&gt;0,N45*100/L45,0)</f>
        <v>68.658475858937493</v>
      </c>
      <c r="P45" s="38">
        <f ca="1">IF(M45&gt;0,N45*100/M45,0)</f>
        <v>91.5307808716707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IFERROR(__xludf.DUMMYFUNCTION("IMPORTRANGE(""https://docs.google.com/spreadsheets/d/1Yj_ptqi66GCucihVvJfMjLAmec39IyEx_6qawtMGysU/edit?usp=sharing"",""สบก!M67"")"),660700)</f>
        <v>660700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IFERROR(__xludf.DUMMYFUNCTION("IMPORTRANGE(""https://docs.google.com/spreadsheets/d/1Yj_ptqi66GCucihVvJfMjLAmec39IyEx_6qawtMGysU/edit?usp=sharing"",""สบก!O67"")"),350600)</f>
        <v>350600</v>
      </c>
      <c r="M49" s="49">
        <f ca="1">L49</f>
        <v>350600</v>
      </c>
      <c r="N49" s="49">
        <f ca="1">IFERROR(__xludf.DUMMYFUNCTION("IMPORTRANGE(""https://docs.google.com/spreadsheets/d/1Yj_ptqi66GCucihVvJfMjLAmec39IyEx_6qawtMGysU/edit?usp=sharing"",""สบก!S67"")"),350600)</f>
        <v>350600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320250</v>
      </c>
      <c r="N53" s="121">
        <f t="shared" ca="1" si="39"/>
        <v>318554.23</v>
      </c>
      <c r="O53" s="120">
        <f t="shared" ref="O53:O55" ca="1" si="40">IF(L53&gt;0,N53*100/L53,0)</f>
        <v>79.638557500000005</v>
      </c>
      <c r="P53" s="120">
        <f t="shared" ref="P53:P55" ca="1" si="41">IF(M53&gt;0,N53*100/M53,0)</f>
        <v>99.470485558157691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320250</v>
      </c>
      <c r="N55" s="121">
        <f t="shared" ca="1" si="43"/>
        <v>318554.23</v>
      </c>
      <c r="O55" s="120">
        <f t="shared" ca="1" si="40"/>
        <v>79.638557500000005</v>
      </c>
      <c r="P55" s="120">
        <f t="shared" ca="1" si="41"/>
        <v>99.470485558157691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IFERROR(__xludf.DUMMYFUNCTION("IMPORTRANGE(""https://docs.google.com/spreadsheets/d/1Yj_ptqi66GCucihVvJfMjLAmec39IyEx_6qawtMGysU/edit?usp=sharing"",""สบก!Z67"")"),320250)</f>
        <v>320250</v>
      </c>
      <c r="N57" s="49">
        <f ca="1">IFERROR(__xludf.DUMMYFUNCTION("IMPORTRANGE(""https://docs.google.com/spreadsheets/d/1Yj_ptqi66GCucihVvJfMjLAmec39IyEx_6qawtMGysU/edit?usp=sharing"",""สบก!AA67"")"),318554.23)</f>
        <v>318554.23</v>
      </c>
      <c r="O57" s="38">
        <f ca="1">IF(L57&gt;0,N57*100/L57,0)</f>
        <v>79.638557500000005</v>
      </c>
      <c r="P57" s="38">
        <f ca="1">IF(M57&gt;0,N57*100/M57,0)</f>
        <v>99.470485558157691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7200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7200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IFERROR(__xludf.DUMMYFUNCTION("IMPORTRANGE(""https://docs.google.com/spreadsheets/d/1Yj_ptqi66GCucihVvJfMjLAmec39IyEx_6qawtMGysU/edit?usp=sharing"",""สบก!AI67"")"),7200)</f>
        <v>7200</v>
      </c>
      <c r="N70" s="169">
        <f ca="1">IFERROR(__xludf.DUMMYFUNCTION("IMPORTRANGE(""https://docs.google.com/spreadsheets/d/1Yj_ptqi66GCucihVvJfMjLAmec39IyEx_6qawtMGysU/edit?usp=sharing"",""สบก!AJ67"")"),0)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IFERROR(__xludf.DUMMYFUNCTION("IMPORTRANGE(""https://docs.google.com/spreadsheets/d/1Yj_ptqi66GCucihVvJfMjLAmec39IyEx_6qawtMGysU/edit?usp=sharing"",""สบก!AE67"")"),0)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IFERROR(__xludf.DUMMYFUNCTION("IMPORTRANGE(""https://docs.google.com/spreadsheets/d/1Yj_ptqi66GCucihVvJfMjLAmec39IyEx_6qawtMGysU/edit?usp=sharing"",""สบก!AF67"")"),0)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IFERROR(__xludf.DUMMYFUNCTION("IMPORTRANGE(""https://docs.google.com/spreadsheets/d/1SX6NBoVAgQJ6U1MVXOaj8PK2l7WJ3RER9xtqwdhxkhw/edit?usp=sharing"",""ปทุมธานี!J16"")"),0)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IFERROR(__xludf.DUMMYFUNCTION("IMPORTRANGE(""https://docs.google.com/spreadsheets/d/1SX6NBoVAgQJ6U1MVXOaj8PK2l7WJ3RER9xtqwdhxkhw/edit?usp=sharing"",""ปทุมธานี!J17"")"),0)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IFERROR(__xludf.DUMMYFUNCTION("IMPORTRANGE(""https://docs.google.com/spreadsheets/d/1SX6NBoVAgQJ6U1MVXOaj8PK2l7WJ3RER9xtqwdhxkhw/edit?usp=sharing"",""ปทุมธานี!J18"")"),0)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IFERROR(__xludf.DUMMYFUNCTION("IMPORTRANGE(""https://docs.google.com/spreadsheets/d/1SX6NBoVAgQJ6U1MVXOaj8PK2l7WJ3RER9xtqwdhxkhw/edit?usp=sharing"",""ปทุมธานี!J19"")"),0)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IFERROR(__xludf.DUMMYFUNCTION("IMPORTRANGE(""https://docs.google.com/spreadsheets/d/1SX6NBoVAgQJ6U1MVXOaj8PK2l7WJ3RER9xtqwdhxkhw/edit?usp=sharing"",""ปทุมธานี!I20"")"),0)</f>
        <v>0</v>
      </c>
      <c r="J80" s="201">
        <f ca="1">IFERROR(__xludf.DUMMYFUNCTION("IMPORTRANGE(""https://docs.google.com/spreadsheets/d/1SX6NBoVAgQJ6U1MVXOaj8PK2l7WJ3RER9xtqwdhxkhw/edit?usp=sharing"",""ปทุมธานี!J20"")"),0)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IFERROR(__xludf.DUMMYFUNCTION("IMPORTRANGE(""https://docs.google.com/spreadsheets/d/1SX6NBoVAgQJ6U1MVXOaj8PK2l7WJ3RER9xtqwdhxkhw/edit?usp=sharing"",""ปทุมธานี!I21"")"),0)</f>
        <v>0</v>
      </c>
      <c r="J81" s="201">
        <f ca="1">IFERROR(__xludf.DUMMYFUNCTION("IMPORTRANGE(""https://docs.google.com/spreadsheets/d/1SX6NBoVAgQJ6U1MVXOaj8PK2l7WJ3RER9xtqwdhxkhw/edit?usp=sharing"",""ปทุมธานี!J21"")"),0)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IFERROR(__xludf.DUMMYFUNCTION("IMPORTRANGE(""https://docs.google.com/spreadsheets/d/1SX6NBoVAgQJ6U1MVXOaj8PK2l7WJ3RER9xtqwdhxkhw/edit?usp=sharing"",""ปทุมธานี!I22"")"),0)</f>
        <v>0</v>
      </c>
      <c r="J82" s="204">
        <f ca="1">IFERROR(__xludf.DUMMYFUNCTION("IMPORTRANGE(""https://docs.google.com/spreadsheets/d/1SX6NBoVAgQJ6U1MVXOaj8PK2l7WJ3RER9xtqwdhxkhw/edit?usp=sharing"",""ปทุมธานี!J22"")"),0)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IFERROR(__xludf.DUMMYFUNCTION("IMPORTRANGE(""https://docs.google.com/spreadsheets/d/1SX6NBoVAgQJ6U1MVXOaj8PK2l7WJ3RER9xtqwdhxkhw/edit?usp=sharing"",""ปทุมธานี!I23"")"),0)</f>
        <v>0</v>
      </c>
      <c r="J83" s="204">
        <f ca="1">IFERROR(__xludf.DUMMYFUNCTION("IMPORTRANGE(""https://docs.google.com/spreadsheets/d/1SX6NBoVAgQJ6U1MVXOaj8PK2l7WJ3RER9xtqwdhxkhw/edit?usp=sharing"",""ปทุมธานี!J23"")"),0)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IFERROR(__xludf.DUMMYFUNCTION("IMPORTRANGE(""https://docs.google.com/spreadsheets/d/1SX6NBoVAgQJ6U1MVXOaj8PK2l7WJ3RER9xtqwdhxkhw/edit?usp=sharing"",""ปทุมธานี!I24"")"),0)</f>
        <v>0</v>
      </c>
      <c r="J84" s="189">
        <f ca="1">IFERROR(__xludf.DUMMYFUNCTION("IMPORTRANGE(""https://docs.google.com/spreadsheets/d/1SX6NBoVAgQJ6U1MVXOaj8PK2l7WJ3RER9xtqwdhxkhw/edit?usp=sharing"",""ปทุมธานี!J24"")"),0)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IFERROR(__xludf.DUMMYFUNCTION("IMPORTRANGE(""https://docs.google.com/spreadsheets/d/1SX6NBoVAgQJ6U1MVXOaj8PK2l7WJ3RER9xtqwdhxkhw/edit?usp=sharing"",""ปทุมธานี!I25"")"),0)</f>
        <v>0</v>
      </c>
      <c r="J85" s="189">
        <f ca="1">IFERROR(__xludf.DUMMYFUNCTION("IMPORTRANGE(""https://docs.google.com/spreadsheets/d/1SX6NBoVAgQJ6U1MVXOaj8PK2l7WJ3RER9xtqwdhxkhw/edit?usp=sharing"",""ปทุมธานี!J25"")"),0)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IFERROR(__xludf.DUMMYFUNCTION("IMPORTRANGE(""https://docs.google.com/spreadsheets/d/1SX6NBoVAgQJ6U1MVXOaj8PK2l7WJ3RER9xtqwdhxkhw/edit?usp=sharing"",""ปทุมธานี!I26"")"),0)</f>
        <v>0</v>
      </c>
      <c r="J86" s="204">
        <f ca="1">IFERROR(__xludf.DUMMYFUNCTION("IMPORTRANGE(""https://docs.google.com/spreadsheets/d/1SX6NBoVAgQJ6U1MVXOaj8PK2l7WJ3RER9xtqwdhxkhw/edit?usp=sharing"",""ปทุมธานี!J26"")"),0)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IFERROR(__xludf.DUMMYFUNCTION("IMPORTRANGE(""https://docs.google.com/spreadsheets/d/1SX6NBoVAgQJ6U1MVXOaj8PK2l7WJ3RER9xtqwdhxkhw/edit?usp=sharing"",""ปทุมธานี!I27"")"),0)</f>
        <v>0</v>
      </c>
      <c r="J87" s="204">
        <f ca="1">IFERROR(__xludf.DUMMYFUNCTION("IMPORTRANGE(""https://docs.google.com/spreadsheets/d/1SX6NBoVAgQJ6U1MVXOaj8PK2l7WJ3RER9xtqwdhxkhw/edit?usp=sharing"",""ปทุมธานี!J27"")"),0)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IFERROR(__xludf.DUMMYFUNCTION("IMPORTRANGE(""https://docs.google.com/spreadsheets/d/1SX6NBoVAgQJ6U1MVXOaj8PK2l7WJ3RER9xtqwdhxkhw/edit?usp=sharing"",""ปทุมธานี!I28"")"),0)</f>
        <v>0</v>
      </c>
      <c r="J88" s="204">
        <f ca="1">IFERROR(__xludf.DUMMYFUNCTION("IMPORTRANGE(""https://docs.google.com/spreadsheets/d/1SX6NBoVAgQJ6U1MVXOaj8PK2l7WJ3RER9xtqwdhxkhw/edit?usp=sharing"",""ปทุมธานี!J28"")"),0)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IFERROR(__xludf.DUMMYFUNCTION("IMPORTRANGE(""https://docs.google.com/spreadsheets/d/1SX6NBoVAgQJ6U1MVXOaj8PK2l7WJ3RER9xtqwdhxkhw/edit?usp=sharing"",""ปทุมธานี!J29"")"),0)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IFERROR(__xludf.DUMMYFUNCTION("IMPORTRANGE(""https://docs.google.com/spreadsheets/d/1SX6NBoVAgQJ6U1MVXOaj8PK2l7WJ3RER9xtqwdhxkhw/edit?usp=sharing"",""ปทุมธานี!J30"")"),0)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IFERROR(__xludf.DUMMYFUNCTION("IMPORTRANGE(""https://docs.google.com/spreadsheets/d/1Yj_ptqi66GCucihVvJfMjLAmec39IyEx_6qawtMGysU/edit?usp=sharing"",""สบก!AR67"")"),0)</f>
        <v>0</v>
      </c>
      <c r="N98" s="169">
        <f ca="1">IFERROR(__xludf.DUMMYFUNCTION("IMPORTRANGE(""https://docs.google.com/spreadsheets/d/1Yj_ptqi66GCucihVvJfMjLAmec39IyEx_6qawtMGysU/edit?usp=sharing"",""สบก!AS67"")"),0)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IFERROR(__xludf.DUMMYFUNCTION("IMPORTRANGE(""https://docs.google.com/spreadsheets/d/1Yj_ptqi66GCucihVvJfMjLAmec39IyEx_6qawtMGysU/edit?usp=sharing"",""สบก!AO67"")"),0)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IFERROR(__xludf.DUMMYFUNCTION("IMPORTRANGE(""https://docs.google.com/spreadsheets/d/1SX6NBoVAgQJ6U1MVXOaj8PK2l7WJ3RER9xtqwdhxkhw/edit?usp=sharing"",""ปทุมธานี!J39"")"),0)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IFERROR(__xludf.DUMMYFUNCTION("IMPORTRANGE(""https://docs.google.com/spreadsheets/d/1SX6NBoVAgQJ6U1MVXOaj8PK2l7WJ3RER9xtqwdhxkhw/edit?usp=sharing"",""ปทุมธานี!J40"")"),0)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IFERROR(__xludf.DUMMYFUNCTION("IMPORTRANGE(""https://docs.google.com/spreadsheets/d/1SX6NBoVAgQJ6U1MVXOaj8PK2l7WJ3RER9xtqwdhxkhw/edit?usp=sharing"",""ปทุมธานี!J41"")"),0)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IFERROR(__xludf.DUMMYFUNCTION("IMPORTRANGE(""https://docs.google.com/spreadsheets/d/1SX6NBoVAgQJ6U1MVXOaj8PK2l7WJ3RER9xtqwdhxkhw/edit?usp=sharing"",""ปทุมธานี!J42"")"),0)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IFERROR(__xludf.DUMMYFUNCTION("IMPORTRANGE(""https://docs.google.com/spreadsheets/d/1SX6NBoVAgQJ6U1MVXOaj8PK2l7WJ3RER9xtqwdhxkhw/edit?usp=sharing"",""ปทุมธานี!I43"")"),0)</f>
        <v>0</v>
      </c>
      <c r="J108" s="204">
        <f ca="1">IFERROR(__xludf.DUMMYFUNCTION("IMPORTRANGE(""https://docs.google.com/spreadsheets/d/1SX6NBoVAgQJ6U1MVXOaj8PK2l7WJ3RER9xtqwdhxkhw/edit?usp=sharing"",""ปทุมธานี!J43"")"),0)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IFERROR(__xludf.DUMMYFUNCTION("IMPORTRANGE(""https://docs.google.com/spreadsheets/d/1SX6NBoVAgQJ6U1MVXOaj8PK2l7WJ3RER9xtqwdhxkhw/edit?usp=sharing"",""ปทุมธานี!I44"")"),0)</f>
        <v>0</v>
      </c>
      <c r="J109" s="204">
        <f ca="1">IFERROR(__xludf.DUMMYFUNCTION("IMPORTRANGE(""https://docs.google.com/spreadsheets/d/1SX6NBoVAgQJ6U1MVXOaj8PK2l7WJ3RER9xtqwdhxkhw/edit?usp=sharing"",""ปทุมธานี!J44"")"),0)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IFERROR(__xludf.DUMMYFUNCTION("IMPORTRANGE(""https://docs.google.com/spreadsheets/d/1SX6NBoVAgQJ6U1MVXOaj8PK2l7WJ3RER9xtqwdhxkhw/edit?usp=sharing"",""ปทุมธานี!I45"")"),0)</f>
        <v>0</v>
      </c>
      <c r="J110" s="204">
        <f ca="1">IFERROR(__xludf.DUMMYFUNCTION("IMPORTRANGE(""https://docs.google.com/spreadsheets/d/1SX6NBoVAgQJ6U1MVXOaj8PK2l7WJ3RER9xtqwdhxkhw/edit?usp=sharing"",""ปทุมธานี!J45"")"),0)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IFERROR(__xludf.DUMMYFUNCTION("IMPORTRANGE(""https://docs.google.com/spreadsheets/d/1SX6NBoVAgQJ6U1MVXOaj8PK2l7WJ3RER9xtqwdhxkhw/edit?usp=sharing"",""ปทุมธานี!I46"")"),0)</f>
        <v>0</v>
      </c>
      <c r="J111" s="204">
        <f ca="1">IFERROR(__xludf.DUMMYFUNCTION("IMPORTRANGE(""https://docs.google.com/spreadsheets/d/1SX6NBoVAgQJ6U1MVXOaj8PK2l7WJ3RER9xtqwdhxkhw/edit?usp=sharing"",""ปทุมธานี!J46"")"),0)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IFERROR(__xludf.DUMMYFUNCTION("IMPORTRANGE(""https://docs.google.com/spreadsheets/d/1SX6NBoVAgQJ6U1MVXOaj8PK2l7WJ3RER9xtqwdhxkhw/edit?usp=sharing"",""ปทุมธานี!I47"")"),0)</f>
        <v>0</v>
      </c>
      <c r="J112" s="204">
        <f ca="1">IFERROR(__xludf.DUMMYFUNCTION("IMPORTRANGE(""https://docs.google.com/spreadsheets/d/1SX6NBoVAgQJ6U1MVXOaj8PK2l7WJ3RER9xtqwdhxkhw/edit?usp=sharing"",""ปทุมธานี!J47"")"),0)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IFERROR(__xludf.DUMMYFUNCTION("IMPORTRANGE(""https://docs.google.com/spreadsheets/d/1SX6NBoVAgQJ6U1MVXOaj8PK2l7WJ3RER9xtqwdhxkhw/edit?usp=sharing"",""ปทุมธานี!I48"")"),0)</f>
        <v>0</v>
      </c>
      <c r="J113" s="204">
        <f ca="1">IFERROR(__xludf.DUMMYFUNCTION("IMPORTRANGE(""https://docs.google.com/spreadsheets/d/1SX6NBoVAgQJ6U1MVXOaj8PK2l7WJ3RER9xtqwdhxkhw/edit?usp=sharing"",""ปทุมธานี!J48"")"),0)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IFERROR(__xludf.DUMMYFUNCTION("IMPORTRANGE(""https://docs.google.com/spreadsheets/d/1SX6NBoVAgQJ6U1MVXOaj8PK2l7WJ3RER9xtqwdhxkhw/edit?usp=sharing"",""ปทุมธานี!J49"")"),0)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IFERROR(__xludf.DUMMYFUNCTION("IMPORTRANGE(""https://docs.google.com/spreadsheets/d/1SX6NBoVAgQJ6U1MVXOaj8PK2l7WJ3RER9xtqwdhxkhw/edit?usp=sharing"",""ปทุมธานี!J50"")"),0)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IFERROR(__xludf.DUMMYFUNCTION("IMPORTRANGE(""https://docs.google.com/spreadsheets/d/1Yj_ptqi66GCucihVvJfMjLAmec39IyEx_6qawtMGysU/edit?usp=sharing"",""สบก!BA67"")"),0)</f>
        <v>0</v>
      </c>
      <c r="N122" s="169">
        <f ca="1">IFERROR(__xludf.DUMMYFUNCTION("IMPORTRANGE(""https://docs.google.com/spreadsheets/d/1Yj_ptqi66GCucihVvJfMjLAmec39IyEx_6qawtMGysU/edit?usp=sharing"",""สบก!BB67"")"),0)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IFERROR(__xludf.DUMMYFUNCTION("IMPORTRANGE(""https://docs.google.com/spreadsheets/d/1Yj_ptqi66GCucihVvJfMjLAmec39IyEx_6qawtMGysU/edit?usp=sharing"",""สบก!AX67"")"),0)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IFERROR(__xludf.DUMMYFUNCTION("IMPORTRANGE(""https://docs.google.com/spreadsheets/d/1SX6NBoVAgQJ6U1MVXOaj8PK2l7WJ3RER9xtqwdhxkhw/edit?usp=sharing"",""ปทุมธานี!J58"")"),0)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IFERROR(__xludf.DUMMYFUNCTION("IMPORTRANGE(""https://docs.google.com/spreadsheets/d/1SX6NBoVAgQJ6U1MVXOaj8PK2l7WJ3RER9xtqwdhxkhw/edit?usp=sharing"",""ปทุมธานี!J59"")"),0)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IFERROR(__xludf.DUMMYFUNCTION("IMPORTRANGE(""https://docs.google.com/spreadsheets/d/1SX6NBoVAgQJ6U1MVXOaj8PK2l7WJ3RER9xtqwdhxkhw/edit?usp=sharing"",""ปทุมธานี!J60"")"),0)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IFERROR(__xludf.DUMMYFUNCTION("IMPORTRANGE(""https://docs.google.com/spreadsheets/d/1SX6NBoVAgQJ6U1MVXOaj8PK2l7WJ3RER9xtqwdhxkhw/edit?usp=sharing"",""ปทุมธานี!J61"")"),0)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IFERROR(__xludf.DUMMYFUNCTION("IMPORTRANGE(""https://docs.google.com/spreadsheets/d/1SX6NBoVAgQJ6U1MVXOaj8PK2l7WJ3RER9xtqwdhxkhw/edit?usp=sharing"",""ปทุมธานี!I62"")"),0)</f>
        <v>0</v>
      </c>
      <c r="J132" s="204">
        <f ca="1">IFERROR(__xludf.DUMMYFUNCTION("IMPORTRANGE(""https://docs.google.com/spreadsheets/d/1SX6NBoVAgQJ6U1MVXOaj8PK2l7WJ3RER9xtqwdhxkhw/edit?usp=sharing"",""ปทุมธานี!J62"")"),0)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IFERROR(__xludf.DUMMYFUNCTION("IMPORTRANGE(""https://docs.google.com/spreadsheets/d/1SX6NBoVAgQJ6U1MVXOaj8PK2l7WJ3RER9xtqwdhxkhw/edit?usp=sharing"",""ปทุมธานี!I63"")"),0)</f>
        <v>0</v>
      </c>
      <c r="J133" s="204">
        <f ca="1">IFERROR(__xludf.DUMMYFUNCTION("IMPORTRANGE(""https://docs.google.com/spreadsheets/d/1SX6NBoVAgQJ6U1MVXOaj8PK2l7WJ3RER9xtqwdhxkhw/edit?usp=sharing"",""ปทุมธานี!J63"")"),0)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IFERROR(__xludf.DUMMYFUNCTION("IMPORTRANGE(""https://docs.google.com/spreadsheets/d/1SX6NBoVAgQJ6U1MVXOaj8PK2l7WJ3RER9xtqwdhxkhw/edit?usp=sharing"",""ปทุมธานี!J64"")"),0)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IFERROR(__xludf.DUMMYFUNCTION("IMPORTRANGE(""https://docs.google.com/spreadsheets/d/1SX6NBoVAgQJ6U1MVXOaj8PK2l7WJ3RER9xtqwdhxkhw/edit?usp=sharing"",""ปทุมธานี!J65"")"),0)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IFERROR(__xludf.DUMMYFUNCTION("IMPORTRANGE(""https://docs.google.com/spreadsheets/d/1SX6NBoVAgQJ6U1MVXOaj8PK2l7WJ3RER9xtqwdhxkhw/edit?usp=sharing"",""ปทุมธานี!I68"")"),30)</f>
        <v>30</v>
      </c>
      <c r="J138" s="268">
        <f ca="1">IFERROR(__xludf.DUMMYFUNCTION("IMPORTRANGE(""https://docs.google.com/spreadsheets/d/1SX6NBoVAgQJ6U1MVXOaj8PK2l7WJ3RER9xtqwdhxkhw/edit?usp=sharing"",""ปทุมธานี!J68"")"),30)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668300</v>
      </c>
      <c r="M140" s="152">
        <f t="shared" ca="1" si="64"/>
        <v>511325</v>
      </c>
      <c r="N140" s="152">
        <f t="shared" ca="1" si="64"/>
        <v>431286.48</v>
      </c>
      <c r="O140" s="151">
        <f t="shared" ref="O140:O142" ca="1" si="65">IF(L140&gt;0,N140*100/L140,0)</f>
        <v>64.534861589106683</v>
      </c>
      <c r="P140" s="151">
        <f t="shared" ref="P140:P142" ca="1" si="66">IF(M140&gt;0,N140*100/M140,0)</f>
        <v>84.346840072361019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668300</v>
      </c>
      <c r="M142" s="157">
        <f t="shared" ca="1" si="68"/>
        <v>511325</v>
      </c>
      <c r="N142" s="157">
        <f t="shared" ca="1" si="68"/>
        <v>431286.48</v>
      </c>
      <c r="O142" s="156">
        <f t="shared" ca="1" si="65"/>
        <v>64.534861589106683</v>
      </c>
      <c r="P142" s="156">
        <f t="shared" ca="1" si="66"/>
        <v>84.346840072361019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668300</v>
      </c>
      <c r="M144" s="168">
        <f ca="1">IFERROR(__xludf.DUMMYFUNCTION("IMPORTRANGE(""https://docs.google.com/spreadsheets/d/1Yj_ptqi66GCucihVvJfMjLAmec39IyEx_6qawtMGysU/edit?usp=sharing"",""สบก!BJ67"")"),511325)</f>
        <v>511325</v>
      </c>
      <c r="N144" s="169">
        <f ca="1">IFERROR(__xludf.DUMMYFUNCTION("IMPORTRANGE(""https://docs.google.com/spreadsheets/d/1Yj_ptqi66GCucihVvJfMjLAmec39IyEx_6qawtMGysU/edit?usp=sharing"",""สบก!BK67"")"),431286.48)</f>
        <v>431286.48</v>
      </c>
      <c r="O144" s="169">
        <f ca="1">IF(L144&gt;0,N144*100/L144,0)</f>
        <v>64.534861589106683</v>
      </c>
      <c r="P144" s="169">
        <f ca="1">IF(M144&gt;0,N144*100/M144,0)</f>
        <v>84.346840072361019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IFERROR(__xludf.DUMMYFUNCTION("IMPORTRANGE(""https://docs.google.com/spreadsheets/d/1Yj_ptqi66GCucihVvJfMjLAmec39IyEx_6qawtMGysU/edit?usp=sharing"",""สบก!BF67"")"),448300)</f>
        <v>448300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IFERROR(__xludf.DUMMYFUNCTION("IMPORTRANGE(""https://docs.google.com/spreadsheets/d/1Yj_ptqi66GCucihVvJfMjLAmec39IyEx_6qawtMGysU/edit?usp=sharing"",""สบก!BG67"")"),220000)</f>
        <v>220000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IFERROR(__xludf.DUMMYFUNCTION("IMPORTRANGE(""https://docs.google.com/spreadsheets/d/1SX6NBoVAgQJ6U1MVXOaj8PK2l7WJ3RER9xtqwdhxkhw/edit?usp=sharing"",""ปทุมธานี!I74"")"),4)</f>
        <v>4</v>
      </c>
      <c r="J149" s="276">
        <f ca="1">IFERROR(__xludf.DUMMYFUNCTION("IMPORTRANGE(""https://docs.google.com/spreadsheets/d/1SX6NBoVAgQJ6U1MVXOaj8PK2l7WJ3RER9xtqwdhxkhw/edit?usp=sharing"",""ปทุมธานี!J74"")"),2)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IFERROR(__xludf.DUMMYFUNCTION("IMPORTRANGE(""https://docs.google.com/spreadsheets/d/1SX6NBoVAgQJ6U1MVXOaj8PK2l7WJ3RER9xtqwdhxkhw/edit?usp=sharing"",""ปทุมธานี!J79"")"),0)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IFERROR(__xludf.DUMMYFUNCTION("IMPORTRANGE(""https://docs.google.com/spreadsheets/d/1SX6NBoVAgQJ6U1MVXOaj8PK2l7WJ3RER9xtqwdhxkhw/edit?usp=sharing"",""ปทุมธานี!J80"")"),1)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IFERROR(__xludf.DUMMYFUNCTION("IMPORTRANGE(""https://docs.google.com/spreadsheets/d/1SX6NBoVAgQJ6U1MVXOaj8PK2l7WJ3RER9xtqwdhxkhw/edit?usp=sharing"",""ปทุมธานี!J81"")"),1)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IFERROR(__xludf.DUMMYFUNCTION("IMPORTRANGE(""https://docs.google.com/spreadsheets/d/1SX6NBoVAgQJ6U1MVXOaj8PK2l7WJ3RER9xtqwdhxkhw/edit?usp=sharing"",""ปทุมธานี!J82"")"),1)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IFERROR(__xludf.DUMMYFUNCTION("IMPORTRANGE(""https://docs.google.com/spreadsheets/d/1SX6NBoVAgQJ6U1MVXOaj8PK2l7WJ3RER9xtqwdhxkhw/edit?usp=sharing"",""ปทุมธานี!I83"")"),4)</f>
        <v>4</v>
      </c>
      <c r="J158" s="189">
        <f ca="1">IFERROR(__xludf.DUMMYFUNCTION("IMPORTRANGE(""https://docs.google.com/spreadsheets/d/1SX6NBoVAgQJ6U1MVXOaj8PK2l7WJ3RER9xtqwdhxkhw/edit?usp=sharing"",""ปทุมธานี!J83"")"),2)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IFERROR(__xludf.DUMMYFUNCTION("IMPORTRANGE(""https://docs.google.com/spreadsheets/d/1SX6NBoVAgQJ6U1MVXOaj8PK2l7WJ3RER9xtqwdhxkhw/edit?usp=sharing"",""ปทุมธานี!J84"")"),59)</f>
        <v>59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IFERROR(__xludf.DUMMYFUNCTION("IMPORTRANGE(""https://docs.google.com/spreadsheets/d/1SX6NBoVAgQJ6U1MVXOaj8PK2l7WJ3RER9xtqwdhxkhw/edit?usp=sharing"",""ปทุมธานี!J85"")"),59)</f>
        <v>59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IFERROR(__xludf.DUMMYFUNCTION("IMPORTRANGE(""https://docs.google.com/spreadsheets/d/1SX6NBoVAgQJ6U1MVXOaj8PK2l7WJ3RER9xtqwdhxkhw/edit?usp=sharing"",""ปทุมธานี!J86"")"),0)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IFERROR(__xludf.DUMMYFUNCTION("IMPORTRANGE(""https://docs.google.com/spreadsheets/d/1SX6NBoVAgQJ6U1MVXOaj8PK2l7WJ3RER9xtqwdhxkhw/edit?usp=sharing"",""ปทุมธานี!J87"")"),0)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IFERROR(__xludf.DUMMYFUNCTION("IMPORTRANGE(""https://docs.google.com/spreadsheets/d/1SX6NBoVAgQJ6U1MVXOaj8PK2l7WJ3RER9xtqwdhxkhw/edit?usp=sharing"",""ปทุมธานี!J88"")"),0)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IFERROR(__xludf.DUMMYFUNCTION("IMPORTRANGE(""https://docs.google.com/spreadsheets/d/1SX6NBoVAgQJ6U1MVXOaj8PK2l7WJ3RER9xtqwdhxkhw/edit?usp=sharing"",""ปทุมธานี!I89"")"),1)</f>
        <v>1</v>
      </c>
      <c r="J164" s="285">
        <f ca="1">IFERROR(__xludf.DUMMYFUNCTION("IMPORTRANGE(""https://docs.google.com/spreadsheets/d/1SX6NBoVAgQJ6U1MVXOaj8PK2l7WJ3RER9xtqwdhxkhw/edit?usp=sharing"",""ปทุมธานี!J89"")"),1)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IFERROR(__xludf.DUMMYFUNCTION("IMPORTRANGE(""https://docs.google.com/spreadsheets/d/1SX6NBoVAgQJ6U1MVXOaj8PK2l7WJ3RER9xtqwdhxkhw/edit?usp=sharing"",""ปทุมธานี!J94"")"),0)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IFERROR(__xludf.DUMMYFUNCTION("IMPORTRANGE(""https://docs.google.com/spreadsheets/d/1SX6NBoVAgQJ6U1MVXOaj8PK2l7WJ3RER9xtqwdhxkhw/edit?usp=sharing"",""ปทุมธานี!J95"")"),0)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IFERROR(__xludf.DUMMYFUNCTION("IMPORTRANGE(""https://docs.google.com/spreadsheets/d/1SX6NBoVAgQJ6U1MVXOaj8PK2l7WJ3RER9xtqwdhxkhw/edit?usp=sharing"",""ปทุมธานี!J96"")"),0)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IFERROR(__xludf.DUMMYFUNCTION("IMPORTRANGE(""https://docs.google.com/spreadsheets/d/1SX6NBoVAgQJ6U1MVXOaj8PK2l7WJ3RER9xtqwdhxkhw/edit?usp=sharing"",""ปทุมธานี!J97"")"),0)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IFERROR(__xludf.DUMMYFUNCTION("IMPORTRANGE(""https://docs.google.com/spreadsheets/d/1SX6NBoVAgQJ6U1MVXOaj8PK2l7WJ3RER9xtqwdhxkhw/edit?usp=sharing"",""ปทุมธานี!I98"")"),1)</f>
        <v>1</v>
      </c>
      <c r="J173" s="189">
        <f ca="1">IFERROR(__xludf.DUMMYFUNCTION("IMPORTRANGE(""https://docs.google.com/spreadsheets/d/1SX6NBoVAgQJ6U1MVXOaj8PK2l7WJ3RER9xtqwdhxkhw/edit?usp=sharing"",""ปทุมธานี!J98"")"),1)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IFERROR(__xludf.DUMMYFUNCTION("IMPORTRANGE(""https://docs.google.com/spreadsheets/d/1SX6NBoVAgQJ6U1MVXOaj8PK2l7WJ3RER9xtqwdhxkhw/edit?usp=sharing"",""ปทุมธานี!J99"")"),0)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IFERROR(__xludf.DUMMYFUNCTION("IMPORTRANGE(""https://docs.google.com/spreadsheets/d/1SX6NBoVAgQJ6U1MVXOaj8PK2l7WJ3RER9xtqwdhxkhw/edit?usp=sharing"",""ปทุมธานี!J100"")"),1)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IFERROR(__xludf.DUMMYFUNCTION("IMPORTRANGE(""https://docs.google.com/spreadsheets/d/1SX6NBoVAgQJ6U1MVXOaj8PK2l7WJ3RER9xtqwdhxkhw/edit?usp=sharing"",""ปทุมธานี!I101"")"),0)</f>
        <v>0</v>
      </c>
      <c r="J176" s="285">
        <f ca="1">IFERROR(__xludf.DUMMYFUNCTION("IMPORTRANGE(""https://docs.google.com/spreadsheets/d/1SX6NBoVAgQJ6U1MVXOaj8PK2l7WJ3RER9xtqwdhxkhw/edit?usp=sharing"",""ปทุมธานี!J101"")"),0)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IFERROR(__xludf.DUMMYFUNCTION("IMPORTRANGE(""https://docs.google.com/spreadsheets/d/1SX6NBoVAgQJ6U1MVXOaj8PK2l7WJ3RER9xtqwdhxkhw/edit?usp=sharing"",""ปทุมธานี!J106"")"),0)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IFERROR(__xludf.DUMMYFUNCTION("IMPORTRANGE(""https://docs.google.com/spreadsheets/d/1SX6NBoVAgQJ6U1MVXOaj8PK2l7WJ3RER9xtqwdhxkhw/edit?usp=sharing"",""ปทุมธานี!J107"")"),0)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IFERROR(__xludf.DUMMYFUNCTION("IMPORTRANGE(""https://docs.google.com/spreadsheets/d/1SX6NBoVAgQJ6U1MVXOaj8PK2l7WJ3RER9xtqwdhxkhw/edit?usp=sharing"",""ปทุมธานี!J108"")"),0)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IFERROR(__xludf.DUMMYFUNCTION("IMPORTRANGE(""https://docs.google.com/spreadsheets/d/1SX6NBoVAgQJ6U1MVXOaj8PK2l7WJ3RER9xtqwdhxkhw/edit?usp=sharing"",""ปทุมธานี!J109"")"),0)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IFERROR(__xludf.DUMMYFUNCTION("IMPORTRANGE(""https://docs.google.com/spreadsheets/d/1SX6NBoVAgQJ6U1MVXOaj8PK2l7WJ3RER9xtqwdhxkhw/edit?usp=sharing"",""ปทุมธานี!I110"")"),0)</f>
        <v>0</v>
      </c>
      <c r="J185" s="204">
        <f ca="1">IFERROR(__xludf.DUMMYFUNCTION("IMPORTRANGE(""https://docs.google.com/spreadsheets/d/1SX6NBoVAgQJ6U1MVXOaj8PK2l7WJ3RER9xtqwdhxkhw/edit?usp=sharing"",""ปทุมธานี!J110"")"),0)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IFERROR(__xludf.DUMMYFUNCTION("IMPORTRANGE(""https://docs.google.com/spreadsheets/d/1SX6NBoVAgQJ6U1MVXOaj8PK2l7WJ3RER9xtqwdhxkhw/edit?usp=sharing"",""ปทุมธานี!I111"")"),0)</f>
        <v>0</v>
      </c>
      <c r="J186" s="204">
        <f ca="1">IFERROR(__xludf.DUMMYFUNCTION("IMPORTRANGE(""https://docs.google.com/spreadsheets/d/1SX6NBoVAgQJ6U1MVXOaj8PK2l7WJ3RER9xtqwdhxkhw/edit?usp=sharing"",""ปทุมธานี!J111"")"),0)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IFERROR(__xludf.DUMMYFUNCTION("IMPORTRANGE(""https://docs.google.com/spreadsheets/d/1SX6NBoVAgQJ6U1MVXOaj8PK2l7WJ3RER9xtqwdhxkhw/edit?usp=sharing"",""ปทุมธานี!J112"")"),0)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IFERROR(__xludf.DUMMYFUNCTION("IMPORTRANGE(""https://docs.google.com/spreadsheets/d/1SX6NBoVAgQJ6U1MVXOaj8PK2l7WJ3RER9xtqwdhxkhw/edit?usp=sharing"",""ปทุมธานี!J113"")"),0)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IFERROR(__xludf.DUMMYFUNCTION("IMPORTRANGE(""https://docs.google.com/spreadsheets/d/1SX6NBoVAgQJ6U1MVXOaj8PK2l7WJ3RER9xtqwdhxkhw/edit?usp=sharing"",""ปทุมธานี!I114"")"),20000)</f>
        <v>20000</v>
      </c>
      <c r="J189" s="285">
        <f ca="1">IFERROR(__xludf.DUMMYFUNCTION("IMPORTRANGE(""https://docs.google.com/spreadsheets/d/1SX6NBoVAgQJ6U1MVXOaj8PK2l7WJ3RER9xtqwdhxkhw/edit?usp=sharing"",""ปทุมธานี!J114"")"),0)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IFERROR(__xludf.DUMMYFUNCTION("IMPORTRANGE(""https://docs.google.com/spreadsheets/d/1SX6NBoVAgQJ6U1MVXOaj8PK2l7WJ3RER9xtqwdhxkhw/edit?usp=sharing"",""ปทุมธานี!J119"")"),0)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IFERROR(__xludf.DUMMYFUNCTION("IMPORTRANGE(""https://docs.google.com/spreadsheets/d/1SX6NBoVAgQJ6U1MVXOaj8PK2l7WJ3RER9xtqwdhxkhw/edit?usp=sharing"",""ปทุมธานี!J120"")"),1)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IFERROR(__xludf.DUMMYFUNCTION("IMPORTRANGE(""https://docs.google.com/spreadsheets/d/1SX6NBoVAgQJ6U1MVXOaj8PK2l7WJ3RER9xtqwdhxkhw/edit?usp=sharing"",""ปทุมธานี!J121"")"),1)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IFERROR(__xludf.DUMMYFUNCTION("IMPORTRANGE(""https://docs.google.com/spreadsheets/d/1SX6NBoVAgQJ6U1MVXOaj8PK2l7WJ3RER9xtqwdhxkhw/edit?usp=sharing"",""ปทุมธานี!J122"")"),0)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IFERROR(__xludf.DUMMYFUNCTION("IMPORTRANGE(""https://docs.google.com/spreadsheets/d/1SX6NBoVAgQJ6U1MVXOaj8PK2l7WJ3RER9xtqwdhxkhw/edit?usp=sharing"",""ปทุมธานี!I124"")"),20000)</f>
        <v>20000</v>
      </c>
      <c r="J199" s="189">
        <f ca="1">IFERROR(__xludf.DUMMYFUNCTION("IMPORTRANGE(""https://docs.google.com/spreadsheets/d/1SX6NBoVAgQJ6U1MVXOaj8PK2l7WJ3RER9xtqwdhxkhw/edit?usp=sharing"",""ปทุมธานี!J124"")"),0)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IFERROR(__xludf.DUMMYFUNCTION("IMPORTRANGE(""https://docs.google.com/spreadsheets/d/1SX6NBoVAgQJ6U1MVXOaj8PK2l7WJ3RER9xtqwdhxkhw/edit?usp=sharing"",""ปทุมธานี!I125"")"),20000)</f>
        <v>20000</v>
      </c>
      <c r="J200" s="189">
        <f ca="1">IFERROR(__xludf.DUMMYFUNCTION("IMPORTRANGE(""https://docs.google.com/spreadsheets/d/1SX6NBoVAgQJ6U1MVXOaj8PK2l7WJ3RER9xtqwdhxkhw/edit?usp=sharing"",""ปทุมธานี!J125"")"),0)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IFERROR(__xludf.DUMMYFUNCTION("IMPORTRANGE(""https://docs.google.com/spreadsheets/d/1SX6NBoVAgQJ6U1MVXOaj8PK2l7WJ3RER9xtqwdhxkhw/edit?usp=sharing"",""ปทุมธานี!I126"")"),0)</f>
        <v>0</v>
      </c>
      <c r="J201" s="189">
        <f ca="1">IFERROR(__xludf.DUMMYFUNCTION("IMPORTRANGE(""https://docs.google.com/spreadsheets/d/1SX6NBoVAgQJ6U1MVXOaj8PK2l7WJ3RER9xtqwdhxkhw/edit?usp=sharing"",""ปทุมธานี!J126"")"),0)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IFERROR(__xludf.DUMMYFUNCTION("IMPORTRANGE(""https://docs.google.com/spreadsheets/d/1SX6NBoVAgQJ6U1MVXOaj8PK2l7WJ3RER9xtqwdhxkhw/edit?usp=sharing"",""ปทุมธานี!J127"")"),0)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IFERROR(__xludf.DUMMYFUNCTION("IMPORTRANGE(""https://docs.google.com/spreadsheets/d/1SX6NBoVAgQJ6U1MVXOaj8PK2l7WJ3RER9xtqwdhxkhw/edit?usp=sharing"",""ปทุมธานี!J128"")"),0)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IFERROR(__xludf.DUMMYFUNCTION("IMPORTRANGE(""https://docs.google.com/spreadsheets/d/1SX6NBoVAgQJ6U1MVXOaj8PK2l7WJ3RER9xtqwdhxkhw/edit?usp=sharing"",""ปทุมธานี!I129"")"),30)</f>
        <v>30</v>
      </c>
      <c r="J204" s="285">
        <f ca="1">IFERROR(__xludf.DUMMYFUNCTION("IMPORTRANGE(""https://docs.google.com/spreadsheets/d/1SX6NBoVAgQJ6U1MVXOaj8PK2l7WJ3RER9xtqwdhxkhw/edit?usp=sharing"",""ปทุมธานี!J129"")"),30)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IFERROR(__xludf.DUMMYFUNCTION("IMPORTRANGE(""https://docs.google.com/spreadsheets/d/1SX6NBoVAgQJ6U1MVXOaj8PK2l7WJ3RER9xtqwdhxkhw/edit?usp=sharing"",""ปทุมธานี!J134"")"),0)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IFERROR(__xludf.DUMMYFUNCTION("IMPORTRANGE(""https://docs.google.com/spreadsheets/d/1SX6NBoVAgQJ6U1MVXOaj8PK2l7WJ3RER9xtqwdhxkhw/edit?usp=sharing"",""ปทุมธานี!J135"")"),1)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IFERROR(__xludf.DUMMYFUNCTION("IMPORTRANGE(""https://docs.google.com/spreadsheets/d/1SX6NBoVAgQJ6U1MVXOaj8PK2l7WJ3RER9xtqwdhxkhw/edit?usp=sharing"",""ปทุมธานี!J136"")"),1)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IFERROR(__xludf.DUMMYFUNCTION("IMPORTRANGE(""https://docs.google.com/spreadsheets/d/1SX6NBoVAgQJ6U1MVXOaj8PK2l7WJ3RER9xtqwdhxkhw/edit?usp=sharing"",""ปทุมธานี!J137"")"),1)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IFERROR(__xludf.DUMMYFUNCTION("IMPORTRANGE(""https://docs.google.com/spreadsheets/d/1SX6NBoVAgQJ6U1MVXOaj8PK2l7WJ3RER9xtqwdhxkhw/edit?usp=sharing"",""ปทุมธานี!I138"")"),30)</f>
        <v>30</v>
      </c>
      <c r="J213" s="204">
        <f ca="1">IFERROR(__xludf.DUMMYFUNCTION("IMPORTRANGE(""https://docs.google.com/spreadsheets/d/1SX6NBoVAgQJ6U1MVXOaj8PK2l7WJ3RER9xtqwdhxkhw/edit?usp=sharing"",""ปทุมธานี!J138"")"),30)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IFERROR(__xludf.DUMMYFUNCTION("IMPORTRANGE(""https://docs.google.com/spreadsheets/d/1SX6NBoVAgQJ6U1MVXOaj8PK2l7WJ3RER9xtqwdhxkhw/edit?usp=sharing"",""ปทุมธานี!I140"")"),0)</f>
        <v>0</v>
      </c>
      <c r="J215" s="204">
        <f ca="1">IFERROR(__xludf.DUMMYFUNCTION("IMPORTRANGE(""https://docs.google.com/spreadsheets/d/1SX6NBoVAgQJ6U1MVXOaj8PK2l7WJ3RER9xtqwdhxkhw/edit?usp=sharing"",""ปทุมธานี!J140"")"),0)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IFERROR(__xludf.DUMMYFUNCTION("IMPORTRANGE(""https://docs.google.com/spreadsheets/d/1SX6NBoVAgQJ6U1MVXOaj8PK2l7WJ3RER9xtqwdhxkhw/edit?usp=sharing"",""ปทุมธานี!I141"")"),1)</f>
        <v>1</v>
      </c>
      <c r="J216" s="204">
        <f ca="1">IFERROR(__xludf.DUMMYFUNCTION("IMPORTRANGE(""https://docs.google.com/spreadsheets/d/1SX6NBoVAgQJ6U1MVXOaj8PK2l7WJ3RER9xtqwdhxkhw/edit?usp=sharing"",""ปทุมธานี!J141"")"),0)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IFERROR(__xludf.DUMMYFUNCTION("IMPORTRANGE(""https://docs.google.com/spreadsheets/d/1SX6NBoVAgQJ6U1MVXOaj8PK2l7WJ3RER9xtqwdhxkhw/edit?usp=sharing"",""ปทุมธานี!J142"")"),0)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IFERROR(__xludf.DUMMYFUNCTION("IMPORTRANGE(""https://docs.google.com/spreadsheets/d/1SX6NBoVAgQJ6U1MVXOaj8PK2l7WJ3RER9xtqwdhxkhw/edit?usp=sharing"",""ปทุมธานี!J143"")"),0)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IFERROR(__xludf.DUMMYFUNCTION("IMPORTRANGE(""https://docs.google.com/spreadsheets/d/1SX6NBoVAgQJ6U1MVXOaj8PK2l7WJ3RER9xtqwdhxkhw/edit?usp=sharing"",""ปทุมธานี!I144"")"),15)</f>
        <v>15</v>
      </c>
      <c r="J219" s="268">
        <f ca="1">IFERROR(__xludf.DUMMYFUNCTION("IMPORTRANGE(""https://docs.google.com/spreadsheets/d/1SX6NBoVAgQJ6U1MVXOaj8PK2l7WJ3RER9xtqwdhxkhw/edit?usp=sharing"",""ปทุมธานี!J144"")"),15)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IFERROR(__xludf.DUMMYFUNCTION("IMPORTRANGE(""https://docs.google.com/spreadsheets/d/1Yj_ptqi66GCucihVvJfMjLAmec39IyEx_6qawtMGysU/edit?usp=sharing"",""สบก!BS67"")"),21125)</f>
        <v>21125</v>
      </c>
      <c r="N224" s="169">
        <f ca="1">IFERROR(__xludf.DUMMYFUNCTION("IMPORTRANGE(""https://docs.google.com/spreadsheets/d/1Yj_ptqi66GCucihVvJfMjLAmec39IyEx_6qawtMGysU/edit?usp=sharing"",""สบก!BT67"")"),21125)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IFERROR(__xludf.DUMMYFUNCTION("IMPORTRANGE(""https://docs.google.com/spreadsheets/d/1Yj_ptqi66GCucihVvJfMjLAmec39IyEx_6qawtMGysU/edit?usp=sharing"",""สบก!BP67"")"),21125)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IFERROR(__xludf.DUMMYFUNCTION("IMPORTRANGE(""https://docs.google.com/spreadsheets/d/1SX6NBoVAgQJ6U1MVXOaj8PK2l7WJ3RER9xtqwdhxkhw/edit?usp=sharing"",""ปทุมธานี!I149"")"),15)</f>
        <v>15</v>
      </c>
      <c r="J229" s="268">
        <f ca="1">IFERROR(__xludf.DUMMYFUNCTION("IMPORTRANGE(""https://docs.google.com/spreadsheets/d/1SX6NBoVAgQJ6U1MVXOaj8PK2l7WJ3RER9xtqwdhxkhw/edit?usp=sharing"",""ปทุมธานี!J149"")"),15)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IFERROR(__xludf.DUMMYFUNCTION("IMPORTRANGE(""https://docs.google.com/spreadsheets/d/1SX6NBoVAgQJ6U1MVXOaj8PK2l7WJ3RER9xtqwdhxkhw/edit?usp=sharing"",""ปทุมธานี!J151"")"),0)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IFERROR(__xludf.DUMMYFUNCTION("IMPORTRANGE(""https://docs.google.com/spreadsheets/d/1SX6NBoVAgQJ6U1MVXOaj8PK2l7WJ3RER9xtqwdhxkhw/edit?usp=sharing"",""ปทุมธานี!J152"")"),1)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IFERROR(__xludf.DUMMYFUNCTION("IMPORTRANGE(""https://docs.google.com/spreadsheets/d/1SX6NBoVAgQJ6U1MVXOaj8PK2l7WJ3RER9xtqwdhxkhw/edit?usp=sharing"",""ปทุมธานี!J153"")"),1)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IFERROR(__xludf.DUMMYFUNCTION("IMPORTRANGE(""https://docs.google.com/spreadsheets/d/1SX6NBoVAgQJ6U1MVXOaj8PK2l7WJ3RER9xtqwdhxkhw/edit?usp=sharing"",""ปทุมธานี!J154"")"),1)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IFERROR(__xludf.DUMMYFUNCTION("IMPORTRANGE(""https://docs.google.com/spreadsheets/d/1SX6NBoVAgQJ6U1MVXOaj8PK2l7WJ3RER9xtqwdhxkhw/edit?usp=sharing"",""ปทุมธานี!I155"")"),15)</f>
        <v>15</v>
      </c>
      <c r="J235" s="189">
        <f ca="1">IFERROR(__xludf.DUMMYFUNCTION("IMPORTRANGE(""https://docs.google.com/spreadsheets/d/1SX6NBoVAgQJ6U1MVXOaj8PK2l7WJ3RER9xtqwdhxkhw/edit?usp=sharing"",""ปทุมธานี!J155"")"),15)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IFERROR(__xludf.DUMMYFUNCTION("IMPORTRANGE(""https://docs.google.com/spreadsheets/d/1SX6NBoVAgQJ6U1MVXOaj8PK2l7WJ3RER9xtqwdhxkhw/edit?usp=sharing"",""ปทุมธานี!J156"")"),0)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IFERROR(__xludf.DUMMYFUNCTION("IMPORTRANGE(""https://docs.google.com/spreadsheets/d/1SX6NBoVAgQJ6U1MVXOaj8PK2l7WJ3RER9xtqwdhxkhw/edit?usp=sharing"",""ปทุมธานี!J157"")"),0)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IFERROR(__xludf.DUMMYFUNCTION("IMPORTRANGE(""https://docs.google.com/spreadsheets/d/1SX6NBoVAgQJ6U1MVXOaj8PK2l7WJ3RER9xtqwdhxkhw/edit?usp=sharing"",""ปทุมธานี!I158"")"),0)</f>
        <v>0</v>
      </c>
      <c r="J238" s="268">
        <f ca="1">IFERROR(__xludf.DUMMYFUNCTION("IMPORTRANGE(""https://docs.google.com/spreadsheets/d/1SX6NBoVAgQJ6U1MVXOaj8PK2l7WJ3RER9xtqwdhxkhw/edit?usp=sharing"",""ปทุมธานี!J158"")"),0)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IFERROR(__xludf.DUMMYFUNCTION("IMPORTRANGE(""https://docs.google.com/spreadsheets/d/1SX6NBoVAgQJ6U1MVXOaj8PK2l7WJ3RER9xtqwdhxkhw/edit?usp=sharing"",""ปทุมธานี!J159"")"),"")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IFERROR(__xludf.DUMMYFUNCTION("IMPORTRANGE(""https://docs.google.com/spreadsheets/d/1SX6NBoVAgQJ6U1MVXOaj8PK2l7WJ3RER9xtqwdhxkhw/edit?usp=sharing"",""ปทุมธานี!J161"")"),0)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IFERROR(__xludf.DUMMYFUNCTION("IMPORTRANGE(""https://docs.google.com/spreadsheets/d/1SX6NBoVAgQJ6U1MVXOaj8PK2l7WJ3RER9xtqwdhxkhw/edit?usp=sharing"",""ปทุมธานี!J162"")"),0)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IFERROR(__xludf.DUMMYFUNCTION("IMPORTRANGE(""https://docs.google.com/spreadsheets/d/1SX6NBoVAgQJ6U1MVXOaj8PK2l7WJ3RER9xtqwdhxkhw/edit?usp=sharing"",""ปทุมธานี!J163"")"),0)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IFERROR(__xludf.DUMMYFUNCTION("IMPORTRANGE(""https://docs.google.com/spreadsheets/d/1SX6NBoVAgQJ6U1MVXOaj8PK2l7WJ3RER9xtqwdhxkhw/edit?usp=sharing"",""ปทุมธานี!I164"")"),0)</f>
        <v>0</v>
      </c>
      <c r="J244" s="188">
        <f ca="1">IFERROR(__xludf.DUMMYFUNCTION("IMPORTRANGE(""https://docs.google.com/spreadsheets/d/1SX6NBoVAgQJ6U1MVXOaj8PK2l7WJ3RER9xtqwdhxkhw/edit?usp=sharing"",""ปทุมธานี!J164"")"),0)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IFERROR(__xludf.DUMMYFUNCTION("IMPORTRANGE(""https://docs.google.com/spreadsheets/d/1SX6NBoVAgQJ6U1MVXOaj8PK2l7WJ3RER9xtqwdhxkhw/edit?usp=sharing"",""ปทุมธานี!J165"")"),0)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IFERROR(__xludf.DUMMYFUNCTION("IMPORTRANGE(""https://docs.google.com/spreadsheets/d/1SX6NBoVAgQJ6U1MVXOaj8PK2l7WJ3RER9xtqwdhxkhw/edit?usp=sharing"",""ปทุมธานี!J166"")"),0)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IFERROR(__xludf.DUMMYFUNCTION("IMPORTRANGE(""https://docs.google.com/spreadsheets/d/1SX6NBoVAgQJ6U1MVXOaj8PK2l7WJ3RER9xtqwdhxkhw/edit?usp=sharing"",""ปทุมธานี!I169"")"),0)</f>
        <v>0</v>
      </c>
      <c r="J249" s="317">
        <f ca="1">IFERROR(__xludf.DUMMYFUNCTION("IMPORTRANGE(""https://docs.google.com/spreadsheets/d/1SX6NBoVAgQJ6U1MVXOaj8PK2l7WJ3RER9xtqwdhxkhw/edit?usp=sharing"",""ปทุมธานี!J169"")"),0)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IFERROR(__xludf.DUMMYFUNCTION("IMPORTRANGE(""https://docs.google.com/spreadsheets/d/1Yj_ptqi66GCucihVvJfMjLAmec39IyEx_6qawtMGysU/edit?usp=sharing"",""สบก!CB67"")"),0)</f>
        <v>0</v>
      </c>
      <c r="N254" s="169">
        <f ca="1">IFERROR(__xludf.DUMMYFUNCTION("IMPORTRANGE(""https://docs.google.com/spreadsheets/d/1Yj_ptqi66GCucihVvJfMjLAmec39IyEx_6qawtMGysU/edit?usp=sharing"",""สบก!CC67"")"),0)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IFERROR(__xludf.DUMMYFUNCTION("IMPORTRANGE(""https://docs.google.com/spreadsheets/d/1Yj_ptqi66GCucihVvJfMjLAmec39IyEx_6qawtMGysU/edit?usp=sharing"",""สบก!BY67"")"),0)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IFERROR(__xludf.DUMMYFUNCTION("IMPORTRANGE(""https://docs.google.com/spreadsheets/d/1SX6NBoVAgQJ6U1MVXOaj8PK2l7WJ3RER9xtqwdhxkhw/edit?usp=sharing"",""ปทุมธานี!J175"")"),0)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IFERROR(__xludf.DUMMYFUNCTION("IMPORTRANGE(""https://docs.google.com/spreadsheets/d/1SX6NBoVAgQJ6U1MVXOaj8PK2l7WJ3RER9xtqwdhxkhw/edit?usp=sharing"",""ปทุมธานี!J176"")"),0)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IFERROR(__xludf.DUMMYFUNCTION("IMPORTRANGE(""https://docs.google.com/spreadsheets/d/1SX6NBoVAgQJ6U1MVXOaj8PK2l7WJ3RER9xtqwdhxkhw/edit?usp=sharing"",""ปทุมธานี!J177"")"),0)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IFERROR(__xludf.DUMMYFUNCTION("IMPORTRANGE(""https://docs.google.com/spreadsheets/d/1SX6NBoVAgQJ6U1MVXOaj8PK2l7WJ3RER9xtqwdhxkhw/edit?usp=sharing"",""ปทุมธานี!J178"")"),0)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IFERROR(__xludf.DUMMYFUNCTION("IMPORTRANGE(""https://docs.google.com/spreadsheets/d/1SX6NBoVAgQJ6U1MVXOaj8PK2l7WJ3RER9xtqwdhxkhw/edit?usp=sharing"",""ปทุมธานี!I179"")"),0)</f>
        <v>0</v>
      </c>
      <c r="J264" s="189">
        <f ca="1">IFERROR(__xludf.DUMMYFUNCTION("IMPORTRANGE(""https://docs.google.com/spreadsheets/d/1SX6NBoVAgQJ6U1MVXOaj8PK2l7WJ3RER9xtqwdhxkhw/edit?usp=sharing"",""ปทุมธานี!J179"")"),0)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IFERROR(__xludf.DUMMYFUNCTION("IMPORTRANGE(""https://docs.google.com/spreadsheets/d/1SX6NBoVAgQJ6U1MVXOaj8PK2l7WJ3RER9xtqwdhxkhw/edit?usp=sharing"",""ปทุมธานี!I180"")"),0)</f>
        <v>0</v>
      </c>
      <c r="J265" s="189">
        <f ca="1">IFERROR(__xludf.DUMMYFUNCTION("IMPORTRANGE(""https://docs.google.com/spreadsheets/d/1SX6NBoVAgQJ6U1MVXOaj8PK2l7WJ3RER9xtqwdhxkhw/edit?usp=sharing"",""ปทุมธานี!J180"")"),0)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IFERROR(__xludf.DUMMYFUNCTION("IMPORTRANGE(""https://docs.google.com/spreadsheets/d/1SX6NBoVAgQJ6U1MVXOaj8PK2l7WJ3RER9xtqwdhxkhw/edit?usp=sharing"",""ปทุมธานี!I181"")"),0)</f>
        <v>0</v>
      </c>
      <c r="J266" s="189">
        <f ca="1">IFERROR(__xludf.DUMMYFUNCTION("IMPORTRANGE(""https://docs.google.com/spreadsheets/d/1SX6NBoVAgQJ6U1MVXOaj8PK2l7WJ3RER9xtqwdhxkhw/edit?usp=sharing"",""ปทุมธานี!J181"")"),0)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IFERROR(__xludf.DUMMYFUNCTION("IMPORTRANGE(""https://docs.google.com/spreadsheets/d/1SX6NBoVAgQJ6U1MVXOaj8PK2l7WJ3RER9xtqwdhxkhw/edit?usp=sharing"",""ปทุมธานี!I182"")"),0)</f>
        <v>0</v>
      </c>
      <c r="J267" s="189">
        <f ca="1">IFERROR(__xludf.DUMMYFUNCTION("IMPORTRANGE(""https://docs.google.com/spreadsheets/d/1SX6NBoVAgQJ6U1MVXOaj8PK2l7WJ3RER9xtqwdhxkhw/edit?usp=sharing"",""ปทุมธานี!J182"")"),0)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IFERROR(__xludf.DUMMYFUNCTION("IMPORTRANGE(""https://docs.google.com/spreadsheets/d/1SX6NBoVAgQJ6U1MVXOaj8PK2l7WJ3RER9xtqwdhxkhw/edit?usp=sharing"",""ปทุมธานี!J183"")"),0)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IFERROR(__xludf.DUMMYFUNCTION("IMPORTRANGE(""https://docs.google.com/spreadsheets/d/1SX6NBoVAgQJ6U1MVXOaj8PK2l7WJ3RER9xtqwdhxkhw/edit?usp=sharing"",""ปทุมธานี!J184"")"),0)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IFERROR(__xludf.DUMMYFUNCTION("IMPORTRANGE(""https://docs.google.com/spreadsheets/d/1SX6NBoVAgQJ6U1MVXOaj8PK2l7WJ3RER9xtqwdhxkhw/edit?usp=sharing"",""ปทุมธานี!I185"")"),15)</f>
        <v>15</v>
      </c>
      <c r="J270" s="317">
        <f ca="1">IFERROR(__xludf.DUMMYFUNCTION("IMPORTRANGE(""https://docs.google.com/spreadsheets/d/1SX6NBoVAgQJ6U1MVXOaj8PK2l7WJ3RER9xtqwdhxkhw/edit?usp=sharing"",""ปทุมธานี!J185"")"),15)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15700</v>
      </c>
      <c r="O271" s="151">
        <f t="shared" ref="O271:O273" ca="1" si="84">IF(L271&gt;0,N271*100/L271,0)</f>
        <v>28.442028985507246</v>
      </c>
      <c r="P271" s="151">
        <f t="shared" ref="P271:P273" ca="1" si="85">IF(M271&gt;0,N271*100/M271,0)</f>
        <v>48.68217054263566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15700</v>
      </c>
      <c r="O273" s="156">
        <f t="shared" ca="1" si="84"/>
        <v>28.442028985507246</v>
      </c>
      <c r="P273" s="156">
        <f t="shared" ca="1" si="85"/>
        <v>48.68217054263566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IFERROR(__xludf.DUMMYFUNCTION("IMPORTRANGE(""https://docs.google.com/spreadsheets/d/1Yj_ptqi66GCucihVvJfMjLAmec39IyEx_6qawtMGysU/edit?usp=sharing"",""สบก!CK67"")"),32250)</f>
        <v>32250</v>
      </c>
      <c r="N275" s="169">
        <f ca="1">IFERROR(__xludf.DUMMYFUNCTION("IMPORTRANGE(""https://docs.google.com/spreadsheets/d/1Yj_ptqi66GCucihVvJfMjLAmec39IyEx_6qawtMGysU/edit?usp=sharing"",""สบก!CL67"")"),15700)</f>
        <v>15700</v>
      </c>
      <c r="O275" s="169">
        <f ca="1">IF(L275&gt;0,N275*100/L275,0)</f>
        <v>28.442028985507246</v>
      </c>
      <c r="P275" s="169">
        <f ca="1">IF(M275&gt;0,N275*100/M275,0)</f>
        <v>48.68217054263566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IFERROR(__xludf.DUMMYFUNCTION("IMPORTRANGE(""https://docs.google.com/spreadsheets/d/1Yj_ptqi66GCucihVvJfMjLAmec39IyEx_6qawtMGysU/edit?usp=sharing"",""สบก!CH67"")"),55200)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IFERROR(__xludf.DUMMYFUNCTION("IMPORTRANGE(""https://docs.google.com/spreadsheets/d/1SX6NBoVAgQJ6U1MVXOaj8PK2l7WJ3RER9xtqwdhxkhw/edit?usp=sharing"",""ปทุมธานี!J191"")"),0)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IFERROR(__xludf.DUMMYFUNCTION("IMPORTRANGE(""https://docs.google.com/spreadsheets/d/1SX6NBoVAgQJ6U1MVXOaj8PK2l7WJ3RER9xtqwdhxkhw/edit?usp=sharing"",""ปทุมธานี!J192"")"),1)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IFERROR(__xludf.DUMMYFUNCTION("IMPORTRANGE(""https://docs.google.com/spreadsheets/d/1SX6NBoVAgQJ6U1MVXOaj8PK2l7WJ3RER9xtqwdhxkhw/edit?usp=sharing"",""ปทุมธานี!J193"")"),1)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IFERROR(__xludf.DUMMYFUNCTION("IMPORTRANGE(""https://docs.google.com/spreadsheets/d/1SX6NBoVAgQJ6U1MVXOaj8PK2l7WJ3RER9xtqwdhxkhw/edit?usp=sharing"",""ปทุมธานี!J194"")"),1)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IFERROR(__xludf.DUMMYFUNCTION("IMPORTRANGE(""https://docs.google.com/spreadsheets/d/1SX6NBoVAgQJ6U1MVXOaj8PK2l7WJ3RER9xtqwdhxkhw/edit?usp=sharing"",""ปทุมธานี!I195"")"),15)</f>
        <v>15</v>
      </c>
      <c r="J285" s="189">
        <f ca="1">IFERROR(__xludf.DUMMYFUNCTION("IMPORTRANGE(""https://docs.google.com/spreadsheets/d/1SX6NBoVAgQJ6U1MVXOaj8PK2l7WJ3RER9xtqwdhxkhw/edit?usp=sharing"",""ปทุมธานี!J195"")"),15)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IFERROR(__xludf.DUMMYFUNCTION("IMPORTRANGE(""https://docs.google.com/spreadsheets/d/1SX6NBoVAgQJ6U1MVXOaj8PK2l7WJ3RER9xtqwdhxkhw/edit?usp=sharing"",""ปทุมธานี!J196"")"),0)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IFERROR(__xludf.DUMMYFUNCTION("IMPORTRANGE(""https://docs.google.com/spreadsheets/d/1SX6NBoVAgQJ6U1MVXOaj8PK2l7WJ3RER9xtqwdhxkhw/edit?usp=sharing"",""ปทุมธานี!J197"")"),0)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IFERROR(__xludf.DUMMYFUNCTION("IMPORTRANGE(""https://docs.google.com/spreadsheets/d/1SX6NBoVAgQJ6U1MVXOaj8PK2l7WJ3RER9xtqwdhxkhw/edit?usp=sharing"",""ปทุมธานี!I199"")"),0)</f>
        <v>0</v>
      </c>
      <c r="J289" s="317">
        <f ca="1">IFERROR(__xludf.DUMMYFUNCTION("IMPORTRANGE(""https://docs.google.com/spreadsheets/d/1SX6NBoVAgQJ6U1MVXOaj8PK2l7WJ3RER9xtqwdhxkhw/edit?usp=sharing"",""ปทุมธานี!J199"")"),0)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IFERROR(__xludf.DUMMYFUNCTION("IMPORTRANGE(""https://docs.google.com/spreadsheets/d/1Yj_ptqi66GCucihVvJfMjLAmec39IyEx_6qawtMGysU/edit?usp=sharing"",""สบก!CT67"")"),0)</f>
        <v>0</v>
      </c>
      <c r="N294" s="169">
        <f ca="1">IFERROR(__xludf.DUMMYFUNCTION("IMPORTRANGE(""https://docs.google.com/spreadsheets/d/1Yj_ptqi66GCucihVvJfMjLAmec39IyEx_6qawtMGysU/edit?usp=sharing"",""สบก!CU67"")"),0)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IFERROR(__xludf.DUMMYFUNCTION("IMPORTRANGE(""https://docs.google.com/spreadsheets/d/1SX6NBoVAgQJ6U1MVXOaj8PK2l7WJ3RER9xtqwdhxkhw/edit?usp=sharing"",""ปทุมธานี!J205"")"),0)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IFERROR(__xludf.DUMMYFUNCTION("IMPORTRANGE(""https://docs.google.com/spreadsheets/d/1SX6NBoVAgQJ6U1MVXOaj8PK2l7WJ3RER9xtqwdhxkhw/edit?usp=sharing"",""ปทุมธานี!J206"")"),0)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IFERROR(__xludf.DUMMYFUNCTION("IMPORTRANGE(""https://docs.google.com/spreadsheets/d/1SX6NBoVAgQJ6U1MVXOaj8PK2l7WJ3RER9xtqwdhxkhw/edit?usp=sharing"",""ปทุมธานี!J207"")"),0)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IFERROR(__xludf.DUMMYFUNCTION("IMPORTRANGE(""https://docs.google.com/spreadsheets/d/1SX6NBoVAgQJ6U1MVXOaj8PK2l7WJ3RER9xtqwdhxkhw/edit?usp=sharing"",""ปทุมธานี!J208"")"),0)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IFERROR(__xludf.DUMMYFUNCTION("IMPORTRANGE(""https://docs.google.com/spreadsheets/d/1SX6NBoVAgQJ6U1MVXOaj8PK2l7WJ3RER9xtqwdhxkhw/edit?usp=sharing"",""ปทุมธานี!I209"")"),0)</f>
        <v>0</v>
      </c>
      <c r="J304" s="204">
        <f ca="1">IFERROR(__xludf.DUMMYFUNCTION("IMPORTRANGE(""https://docs.google.com/spreadsheets/d/1SX6NBoVAgQJ6U1MVXOaj8PK2l7WJ3RER9xtqwdhxkhw/edit?usp=sharing"",""ปทุมธานี!J209"")"),0)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IFERROR(__xludf.DUMMYFUNCTION("IMPORTRANGE(""https://docs.google.com/spreadsheets/d/1SX6NBoVAgQJ6U1MVXOaj8PK2l7WJ3RER9xtqwdhxkhw/edit?usp=sharing"",""ปทุมธานี!I211"")"),0)</f>
        <v>0</v>
      </c>
      <c r="J306" s="204">
        <f ca="1">IFERROR(__xludf.DUMMYFUNCTION("IMPORTRANGE(""https://docs.google.com/spreadsheets/d/1SX6NBoVAgQJ6U1MVXOaj8PK2l7WJ3RER9xtqwdhxkhw/edit?usp=sharing"",""ปทุมธานี!J211"")"),0)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IFERROR(__xludf.DUMMYFUNCTION("IMPORTRANGE(""https://docs.google.com/spreadsheets/d/1SX6NBoVAgQJ6U1MVXOaj8PK2l7WJ3RER9xtqwdhxkhw/edit?usp=sharing"",""ปทุมธานี!J212"")"),0)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IFERROR(__xludf.DUMMYFUNCTION("IMPORTRANGE(""https://docs.google.com/spreadsheets/d/1SX6NBoVAgQJ6U1MVXOaj8PK2l7WJ3RER9xtqwdhxkhw/edit?usp=sharing"",""ปทุมธานี!J213"")"),0)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IFERROR(__xludf.DUMMYFUNCTION("IMPORTRANGE(""https://docs.google.com/spreadsheets/d/1SX6NBoVAgQJ6U1MVXOaj8PK2l7WJ3RER9xtqwdhxkhw/edit?usp=sharing"",""ปทุมธานี!I214"")"),0)</f>
        <v>0</v>
      </c>
      <c r="J309" s="334">
        <f ca="1">IFERROR(__xludf.DUMMYFUNCTION("IMPORTRANGE(""https://docs.google.com/spreadsheets/d/1SX6NBoVAgQJ6U1MVXOaj8PK2l7WJ3RER9xtqwdhxkhw/edit?usp=sharing"",""ปทุมธานี!J214"")"),0)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IFERROR(__xludf.DUMMYFUNCTION("IMPORTRANGE(""https://docs.google.com/spreadsheets/d/1Yj_ptqi66GCucihVvJfMjLAmec39IyEx_6qawtMGysU/edit?usp=sharing"",""สบก!DC67"")"),0)</f>
        <v>0</v>
      </c>
      <c r="N314" s="169">
        <f ca="1">IFERROR(__xludf.DUMMYFUNCTION("IMPORTRANGE(""https://docs.google.com/spreadsheets/d/1Yj_ptqi66GCucihVvJfMjLAmec39IyEx_6qawtMGysU/edit?usp=sharing"",""สบก!DD67"")"),0)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IFERROR(__xludf.DUMMYFUNCTION("IMPORTRANGE(""https://docs.google.com/spreadsheets/d/1SX6NBoVAgQJ6U1MVXOaj8PK2l7WJ3RER9xtqwdhxkhw/edit?usp=sharing"",""ปทุมธานี!J220"")"),0)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IFERROR(__xludf.DUMMYFUNCTION("IMPORTRANGE(""https://docs.google.com/spreadsheets/d/1SX6NBoVAgQJ6U1MVXOaj8PK2l7WJ3RER9xtqwdhxkhw/edit?usp=sharing"",""ปทุมธานี!J221"")"),0)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IFERROR(__xludf.DUMMYFUNCTION("IMPORTRANGE(""https://docs.google.com/spreadsheets/d/1SX6NBoVAgQJ6U1MVXOaj8PK2l7WJ3RER9xtqwdhxkhw/edit?usp=sharing"",""ปทุมธานี!J222"")"),0)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IFERROR(__xludf.DUMMYFUNCTION("IMPORTRANGE(""https://docs.google.com/spreadsheets/d/1SX6NBoVAgQJ6U1MVXOaj8PK2l7WJ3RER9xtqwdhxkhw/edit?usp=sharing"",""ปทุมธานี!J223"")"),0)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IFERROR(__xludf.DUMMYFUNCTION("IMPORTRANGE(""https://docs.google.com/spreadsheets/d/1SX6NBoVAgQJ6U1MVXOaj8PK2l7WJ3RER9xtqwdhxkhw/edit?usp=sharing"",""ปทุมธานี!I224"")"),0)</f>
        <v>0</v>
      </c>
      <c r="J324" s="204">
        <f ca="1">IFERROR(__xludf.DUMMYFUNCTION("IMPORTRANGE(""https://docs.google.com/spreadsheets/d/1SX6NBoVAgQJ6U1MVXOaj8PK2l7WJ3RER9xtqwdhxkhw/edit?usp=sharing"",""ปทุมธานี!J224"")"),0)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IFERROR(__xludf.DUMMYFUNCTION("IMPORTRANGE(""https://docs.google.com/spreadsheets/d/1SX6NBoVAgQJ6U1MVXOaj8PK2l7WJ3RER9xtqwdhxkhw/edit?usp=sharing"",""ปทุมธานี!J225"")"),0)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IFERROR(__xludf.DUMMYFUNCTION("IMPORTRANGE(""https://docs.google.com/spreadsheets/d/1SX6NBoVAgQJ6U1MVXOaj8PK2l7WJ3RER9xtqwdhxkhw/edit?usp=sharing"",""ปทุมธานี!J226"")"),0)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IFERROR(__xludf.DUMMYFUNCTION("IMPORTRANGE(""https://docs.google.com/spreadsheets/d/1SX6NBoVAgQJ6U1MVXOaj8PK2l7WJ3RER9xtqwdhxkhw/edit?usp=sharing"",""ปทุมธานี!I228"")"),0)</f>
        <v>0</v>
      </c>
      <c r="J328" s="340">
        <f ca="1">IFERROR(__xludf.DUMMYFUNCTION("IMPORTRANGE(""https://docs.google.com/spreadsheets/d/1SX6NBoVAgQJ6U1MVXOaj8PK2l7WJ3RER9xtqwdhxkhw/edit?usp=sharing"",""ปทุมธานี!J228"")"),0)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570980</v>
      </c>
      <c r="M329" s="152">
        <f t="shared" ca="1" si="98"/>
        <v>417690</v>
      </c>
      <c r="N329" s="152">
        <f t="shared" ca="1" si="98"/>
        <v>224156.67</v>
      </c>
      <c r="O329" s="151">
        <f t="shared" ref="O329:O331" ca="1" si="99">IF(L329&gt;0,N329*100/L329,0)</f>
        <v>39.258234964447091</v>
      </c>
      <c r="P329" s="151">
        <f t="shared" ref="P329:P331" ca="1" si="100">IF(M329&gt;0,N329*100/M329,0)</f>
        <v>53.665797601091718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570980</v>
      </c>
      <c r="M331" s="157">
        <f t="shared" ca="1" si="102"/>
        <v>417690</v>
      </c>
      <c r="N331" s="157">
        <f t="shared" ca="1" si="102"/>
        <v>224156.67</v>
      </c>
      <c r="O331" s="156">
        <f t="shared" ca="1" si="99"/>
        <v>39.258234964447091</v>
      </c>
      <c r="P331" s="156">
        <f t="shared" ca="1" si="100"/>
        <v>53.665797601091718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570980</v>
      </c>
      <c r="M333" s="168">
        <f ca="1">IFERROR(__xludf.DUMMYFUNCTION("IMPORTRANGE(""https://docs.google.com/spreadsheets/d/1Yj_ptqi66GCucihVvJfMjLAmec39IyEx_6qawtMGysU/edit?usp=sharing"",""สบก!DL67"")"),417690)</f>
        <v>417690</v>
      </c>
      <c r="N333" s="169">
        <f ca="1">IFERROR(__xludf.DUMMYFUNCTION("IMPORTRANGE(""https://docs.google.com/spreadsheets/d/1Yj_ptqi66GCucihVvJfMjLAmec39IyEx_6qawtMGysU/edit?usp=sharing"",""สบก!DM67"")"),224156.67)</f>
        <v>224156.67</v>
      </c>
      <c r="O333" s="169">
        <f ca="1">IF(L333&gt;0,N333*100/L333,0)</f>
        <v>39.258234964447091</v>
      </c>
      <c r="P333" s="169">
        <f ca="1">IF(M333&gt;0,N333*100/M333,0)</f>
        <v>53.665797601091718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IFERROR(__xludf.DUMMYFUNCTION("IMPORTRANGE(""https://docs.google.com/spreadsheets/d/1Yj_ptqi66GCucihVvJfMjLAmec39IyEx_6qawtMGysU/edit?usp=sharing"",""สบก!DH67"")"),388800)</f>
        <v>388800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IFERROR(__xludf.DUMMYFUNCTION("IMPORTRANGE(""https://docs.google.com/spreadsheets/d/1Yj_ptqi66GCucihVvJfMjLAmec39IyEx_6qawtMGysU/edit?usp=sharing"",""สบก!DI67"")"),182180)</f>
        <v>182180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IFERROR(__xludf.DUMMYFUNCTION("IMPORTRANGE(""https://docs.google.com/spreadsheets/d/1SX6NBoVAgQJ6U1MVXOaj8PK2l7WJ3RER9xtqwdhxkhw/edit?usp=sharing"",""ปทุมธานี!I234"")"),0)</f>
        <v>0</v>
      </c>
      <c r="J339" s="188">
        <f ca="1">IFERROR(__xludf.DUMMYFUNCTION("IMPORTRANGE(""https://docs.google.com/spreadsheets/d/1SX6NBoVAgQJ6U1MVXOaj8PK2l7WJ3RER9xtqwdhxkhw/edit?usp=sharing"",""ปทุมธานี!J234"")"),0)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IFERROR(__xludf.DUMMYFUNCTION("IMPORTRANGE(""https://docs.google.com/spreadsheets/d/1SX6NBoVAgQJ6U1MVXOaj8PK2l7WJ3RER9xtqwdhxkhw/edit?usp=sharing"",""ปทุมธานี!I235"")"),0)</f>
        <v>0</v>
      </c>
      <c r="J340" s="188">
        <f ca="1">IFERROR(__xludf.DUMMYFUNCTION("IMPORTRANGE(""https://docs.google.com/spreadsheets/d/1SX6NBoVAgQJ6U1MVXOaj8PK2l7WJ3RER9xtqwdhxkhw/edit?usp=sharing"",""ปทุมธานี!J235"")"),0)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IFERROR(__xludf.DUMMYFUNCTION("IMPORTRANGE(""https://docs.google.com/spreadsheets/d/1SX6NBoVAgQJ6U1MVXOaj8PK2l7WJ3RER9xtqwdhxkhw/edit?usp=sharing"",""ปทุมธานี!I236"")"),0)</f>
        <v>0</v>
      </c>
      <c r="J341" s="188">
        <f ca="1">IFERROR(__xludf.DUMMYFUNCTION("IMPORTRANGE(""https://docs.google.com/spreadsheets/d/1SX6NBoVAgQJ6U1MVXOaj8PK2l7WJ3RER9xtqwdhxkhw/edit?usp=sharing"",""ปทุมธานี!J236"")"),0)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8">
        <f ca="1">IFERROR(__xludf.DUMMYFUNCTION("IMPORTRANGE(""https://docs.google.com/spreadsheets/d/1SX6NBoVAgQJ6U1MVXOaj8PK2l7WJ3RER9xtqwdhxkhw/edit?usp=sharing"",""ปทุมธานี!J237"")"),0)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IFERROR(__xludf.DUMMYFUNCTION("IMPORTRANGE(""https://docs.google.com/spreadsheets/d/1SX6NBoVAgQJ6U1MVXOaj8PK2l7WJ3RER9xtqwdhxkhw/edit?usp=sharing"",""ปทุมธานี!I238"")"),0)</f>
        <v>0</v>
      </c>
      <c r="J343" s="188">
        <f ca="1">IFERROR(__xludf.DUMMYFUNCTION("IMPORTRANGE(""https://docs.google.com/spreadsheets/d/1SX6NBoVAgQJ6U1MVXOaj8PK2l7WJ3RER9xtqwdhxkhw/edit?usp=sharing"",""ปทุมธานี!J238"")"),0)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8">
        <f ca="1">IFERROR(__xludf.DUMMYFUNCTION("IMPORTRANGE(""https://docs.google.com/spreadsheets/d/1SX6NBoVAgQJ6U1MVXOaj8PK2l7WJ3RER9xtqwdhxkhw/edit?usp=sharing"",""ปทุมธานี!J239"")"),0)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IFERROR(__xludf.DUMMYFUNCTION("IMPORTRANGE(""https://docs.google.com/spreadsheets/d/1SX6NBoVAgQJ6U1MVXOaj8PK2l7WJ3RER9xtqwdhxkhw/edit?usp=sharing"",""ปทุมธานี!I240"")"),0)</f>
        <v>0</v>
      </c>
      <c r="J345" s="188">
        <f ca="1">IFERROR(__xludf.DUMMYFUNCTION("IMPORTRANGE(""https://docs.google.com/spreadsheets/d/1SX6NBoVAgQJ6U1MVXOaj8PK2l7WJ3RER9xtqwdhxkhw/edit?usp=sharing"",""ปทุมธานี!J240"")"),0)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8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IFERROR(__xludf.DUMMYFUNCTION("IMPORTRANGE(""https://docs.google.com/spreadsheets/d/1SX6NBoVAgQJ6U1MVXOaj8PK2l7WJ3RER9xtqwdhxkhw/edit?usp=sharing"",""ปทุมธานี!L242"")"),565890)</f>
        <v>565890</v>
      </c>
      <c r="M347" s="358"/>
      <c r="N347" s="358">
        <f ca="1">IFERROR(__xludf.DUMMYFUNCTION("IMPORTRANGE(""https://docs.google.com/spreadsheets/d/1SX6NBoVAgQJ6U1MVXOaj8PK2l7WJ3RER9xtqwdhxkhw/edit?usp=sharing"",""ปทุมธานี!M242"")"),430233.03)</f>
        <v>430233.03</v>
      </c>
      <c r="O347" s="358">
        <f ca="1">+IF(L347&gt;0,N347*100/L347,0)</f>
        <v>76.027678524094782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IFERROR(__xludf.DUMMYFUNCTION("IMPORTRANGE(""https://docs.google.com/spreadsheets/d/1SX6NBoVAgQJ6U1MVXOaj8PK2l7WJ3RER9xtqwdhxkhw/edit?usp=sharing"",""ปทุมธานี!J244"")"),12)</f>
        <v>12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IFERROR(__xludf.DUMMYFUNCTION("IMPORTRANGE(""https://docs.google.com/spreadsheets/d/1SX6NBoVAgQJ6U1MVXOaj8PK2l7WJ3RER9xtqwdhxkhw/edit?usp=sharing"",""ปทุมธานี!L244"")"),47160)</f>
        <v>47160</v>
      </c>
      <c r="M349" s="373"/>
      <c r="N349" s="373">
        <f ca="1">IFERROR(__xludf.DUMMYFUNCTION("IMPORTRANGE(""https://docs.google.com/spreadsheets/d/1SX6NBoVAgQJ6U1MVXOaj8PK2l7WJ3RER9xtqwdhxkhw/edit?usp=sharing"",""ปทุมธานี!M244"")"),39660.01)</f>
        <v>39660.01</v>
      </c>
      <c r="O349" s="373">
        <f ca="1">+IF(L349&gt;0,N349*100/L349,0)</f>
        <v>84.096713316369801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IFERROR(__xludf.DUMMYFUNCTION("IMPORTRANGE(""https://docs.google.com/spreadsheets/d/1SX6NBoVAgQJ6U1MVXOaj8PK2l7WJ3RER9xtqwdhxkhw/edit?usp=sharing"",""ปทุมธานี!L246"")"),0)</f>
        <v>0</v>
      </c>
      <c r="M351" s="164"/>
      <c r="N351" s="164">
        <f ca="1">IFERROR(__xludf.DUMMYFUNCTION("IMPORTRANGE(""https://docs.google.com/spreadsheets/d/1SX6NBoVAgQJ6U1MVXOaj8PK2l7WJ3RER9xtqwdhxkhw/edit?usp=sharing"",""ปทุมธานี!M246"")"),0)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IFERROR(__xludf.DUMMYFUNCTION("IMPORTRANGE(""https://docs.google.com/spreadsheets/d/1SX6NBoVAgQJ6U1MVXOaj8PK2l7WJ3RER9xtqwdhxkhw/edit?usp=sharing"",""ปทุมธานี!L247"")"),47160)</f>
        <v>47160</v>
      </c>
      <c r="M352" s="165"/>
      <c r="N352" s="164">
        <f ca="1">IFERROR(__xludf.DUMMYFUNCTION("IMPORTRANGE(""https://docs.google.com/spreadsheets/d/1SX6NBoVAgQJ6U1MVXOaj8PK2l7WJ3RER9xtqwdhxkhw/edit?usp=sharing"",""ปทุมธานี!M247"")"),39660.01)</f>
        <v>39660.01</v>
      </c>
      <c r="O352" s="165">
        <f t="shared" ca="1" si="105"/>
        <v>84.096713316369801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IFERROR(__xludf.DUMMYFUNCTION("IMPORTRANGE(""https://docs.google.com/spreadsheets/d/1SX6NBoVAgQJ6U1MVXOaj8PK2l7WJ3RER9xtqwdhxkhw/edit?usp=sharing"",""ปทุมธานี!L248"")"),0)</f>
        <v>0</v>
      </c>
      <c r="M353" s="169"/>
      <c r="N353" s="169">
        <f ca="1">IFERROR(__xludf.DUMMYFUNCTION("IMPORTRANGE(""https://docs.google.com/spreadsheets/d/1SX6NBoVAgQJ6U1MVXOaj8PK2l7WJ3RER9xtqwdhxkhw/edit?usp=sharing"",""ปทุมธานี!M248"")"),0)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IFERROR(__xludf.DUMMYFUNCTION("IMPORTRANGE(""https://docs.google.com/spreadsheets/d/1SX6NBoVAgQJ6U1MVXOaj8PK2l7WJ3RER9xtqwdhxkhw/edit?usp=sharing"",""ปทุมธานี!L249"")"),47160)</f>
        <v>47160</v>
      </c>
      <c r="M354" s="169"/>
      <c r="N354" s="168">
        <f ca="1">IFERROR(__xludf.DUMMYFUNCTION("IMPORTRANGE(""https://docs.google.com/spreadsheets/d/1SX6NBoVAgQJ6U1MVXOaj8PK2l7WJ3RER9xtqwdhxkhw/edit?usp=sharing"",""ปทุมธานี!M249"")"),39660.01)</f>
        <v>39660.01</v>
      </c>
      <c r="O354" s="169">
        <f t="shared" ca="1" si="105"/>
        <v>84.096713316369801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IFERROR(__xludf.DUMMYFUNCTION("IMPORTRANGE(""https://docs.google.com/spreadsheets/d/1SX6NBoVAgQJ6U1MVXOaj8PK2l7WJ3RER9xtqwdhxkhw/edit?usp=sharing"",""ปทุมธานี!M250"")"),12760.01)</f>
        <v>12760.01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IFERROR(__xludf.DUMMYFUNCTION("IMPORTRANGE(""https://docs.google.com/spreadsheets/d/1SX6NBoVAgQJ6U1MVXOaj8PK2l7WJ3RER9xtqwdhxkhw/edit?usp=sharing"",""ปทุมธานี!M251"")"),17000)</f>
        <v>17000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IFERROR(__xludf.DUMMYFUNCTION("IMPORTRANGE(""https://docs.google.com/spreadsheets/d/1SX6NBoVAgQJ6U1MVXOaj8PK2l7WJ3RER9xtqwdhxkhw/edit?usp=sharing"",""ปทุมธานี!M253"")"),9900)</f>
        <v>9900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IFERROR(__xludf.DUMMYFUNCTION("IMPORTRANGE(""https://docs.google.com/spreadsheets/d/1SX6NBoVAgQJ6U1MVXOaj8PK2l7WJ3RER9xtqwdhxkhw/edit?usp=sharing"",""ปทุมธานี!J255"")"),0)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IFERROR(__xludf.DUMMYFUNCTION("IMPORTRANGE(""https://docs.google.com/spreadsheets/d/1SX6NBoVAgQJ6U1MVXOaj8PK2l7WJ3RER9xtqwdhxkhw/edit?usp=sharing"",""ปทุมธานี!J256"")"),1)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IFERROR(__xludf.DUMMYFUNCTION("IMPORTRANGE(""https://docs.google.com/spreadsheets/d/1SX6NBoVAgQJ6U1MVXOaj8PK2l7WJ3RER9xtqwdhxkhw/edit?usp=sharing"",""ปทุมธานี!J257"")"),1)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IFERROR(__xludf.DUMMYFUNCTION("IMPORTRANGE(""https://docs.google.com/spreadsheets/d/1SX6NBoVAgQJ6U1MVXOaj8PK2l7WJ3RER9xtqwdhxkhw/edit?usp=sharing"",""ปทุมธานี!J258"")"),1)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IFERROR(__xludf.DUMMYFUNCTION("IMPORTRANGE(""https://docs.google.com/spreadsheets/d/1SX6NBoVAgQJ6U1MVXOaj8PK2l7WJ3RER9xtqwdhxkhw/edit?usp=sharing"",""ปทุมธานี!J166"")"),0)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IFERROR(__xludf.DUMMYFUNCTION("IMPORTRANGE(""https://docs.google.com/spreadsheets/d/1SX6NBoVAgQJ6U1MVXOaj8PK2l7WJ3RER9xtqwdhxkhw/edit?usp=sharing"",""ปทุมธานี!J166"")"),0)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IFERROR(__xludf.DUMMYFUNCTION("IMPORTRANGE(""https://docs.google.com/spreadsheets/d/1SX6NBoVAgQJ6U1MVXOaj8PK2l7WJ3RER9xtqwdhxkhw/edit?usp=sharing"",""ปทุมธานี!J166"")"),0)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IFERROR(__xludf.DUMMYFUNCTION("IMPORTRANGE(""https://docs.google.com/spreadsheets/d/1SX6NBoVAgQJ6U1MVXOaj8PK2l7WJ3RER9xtqwdhxkhw/edit?usp=sharing"",""ปทุมธานี!J166"")"),0)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IFERROR(__xludf.DUMMYFUNCTION("IMPORTRANGE(""https://docs.google.com/spreadsheets/d/1SX6NBoVAgQJ6U1MVXOaj8PK2l7WJ3RER9xtqwdhxkhw/edit?usp=sharing"",""ปทุมธานี!I263"")"),6)</f>
        <v>6</v>
      </c>
      <c r="J368" s="188">
        <f ca="1">IFERROR(__xludf.DUMMYFUNCTION("IMPORTRANGE(""https://docs.google.com/spreadsheets/d/1SX6NBoVAgQJ6U1MVXOaj8PK2l7WJ3RER9xtqwdhxkhw/edit?usp=sharing"",""ปทุมธานี!J263"")"),6)</f>
        <v>6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IFERROR(__xludf.DUMMYFUNCTION("IMPORTRANGE(""https://docs.google.com/spreadsheets/d/1SX6NBoVAgQJ6U1MVXOaj8PK2l7WJ3RER9xtqwdhxkhw/edit?usp=sharing"",""ปทุมธานี!I164"")"),0)</f>
        <v>0</v>
      </c>
      <c r="J369" s="204">
        <f ca="1">IFERROR(__xludf.DUMMYFUNCTION("IMPORTRANGE(""https://docs.google.com/spreadsheets/d/1SX6NBoVAgQJ6U1MVXOaj8PK2l7WJ3RER9xtqwdhxkhw/edit?usp=sharing"",""ปทุมธานี!J164"")"),0)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IFERROR(__xludf.DUMMYFUNCTION("IMPORTRANGE(""https://docs.google.com/spreadsheets/d/1SX6NBoVAgQJ6U1MVXOaj8PK2l7WJ3RER9xtqwdhxkhw/edit?usp=sharing"",""ปทุมธานี!I265"")"),6)</f>
        <v>6</v>
      </c>
      <c r="J370" s="204">
        <f ca="1">IFERROR(__xludf.DUMMYFUNCTION("IMPORTRANGE(""https://docs.google.com/spreadsheets/d/1SX6NBoVAgQJ6U1MVXOaj8PK2l7WJ3RER9xtqwdhxkhw/edit?usp=sharing"",""ปทุมธานี!J265"")"),0)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IFERROR(__xludf.DUMMYFUNCTION("IMPORTRANGE(""https://docs.google.com/spreadsheets/d/1SX6NBoVAgQJ6U1MVXOaj8PK2l7WJ3RER9xtqwdhxkhw/edit?usp=sharing"",""ปทุมธานี!I164"")"),0)</f>
        <v>0</v>
      </c>
      <c r="J371" s="189">
        <f ca="1">IFERROR(__xludf.DUMMYFUNCTION("IMPORTRANGE(""https://docs.google.com/spreadsheets/d/1SX6NBoVAgQJ6U1MVXOaj8PK2l7WJ3RER9xtqwdhxkhw/edit?usp=sharing"",""ปทุมธานี!J164"")"),0)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IFERROR(__xludf.DUMMYFUNCTION("IMPORTRANGE(""https://docs.google.com/spreadsheets/d/1SX6NBoVAgQJ6U1MVXOaj8PK2l7WJ3RER9xtqwdhxkhw/edit?usp=sharing"",""ปทุมธานี!I267"")"),6)</f>
        <v>6</v>
      </c>
      <c r="J372" s="189">
        <f ca="1">IFERROR(__xludf.DUMMYFUNCTION("IMPORTRANGE(""https://docs.google.com/spreadsheets/d/1SX6NBoVAgQJ6U1MVXOaj8PK2l7WJ3RER9xtqwdhxkhw/edit?usp=sharing"",""ปทุมธานี!J267"")"),6)</f>
        <v>6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IFERROR(__xludf.DUMMYFUNCTION("IMPORTRANGE(""https://docs.google.com/spreadsheets/d/1SX6NBoVAgQJ6U1MVXOaj8PK2l7WJ3RER9xtqwdhxkhw/edit?usp=sharing"",""ปทุมธานี!I164"")"),0)</f>
        <v>0</v>
      </c>
      <c r="J373" s="204">
        <f ca="1">IFERROR(__xludf.DUMMYFUNCTION("IMPORTRANGE(""https://docs.google.com/spreadsheets/d/1SX6NBoVAgQJ6U1MVXOaj8PK2l7WJ3RER9xtqwdhxkhw/edit?usp=sharing"",""ปทุมธานี!J164"")"),0)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IFERROR(__xludf.DUMMYFUNCTION("IMPORTRANGE(""https://docs.google.com/spreadsheets/d/1SX6NBoVAgQJ6U1MVXOaj8PK2l7WJ3RER9xtqwdhxkhw/edit?usp=sharing"",""ปทุมธานี!I164"")"),0)</f>
        <v>0</v>
      </c>
      <c r="J374" s="188">
        <f ca="1">IFERROR(__xludf.DUMMYFUNCTION("IMPORTRANGE(""https://docs.google.com/spreadsheets/d/1SX6NBoVAgQJ6U1MVXOaj8PK2l7WJ3RER9xtqwdhxkhw/edit?usp=sharing"",""ปทุมธานี!J164"")"),0)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IFERROR(__xludf.DUMMYFUNCTION("IMPORTRANGE(""https://docs.google.com/spreadsheets/d/1SX6NBoVAgQJ6U1MVXOaj8PK2l7WJ3RER9xtqwdhxkhw/edit?usp=sharing"",""ปทุมธานี!I270"")"),12)</f>
        <v>12</v>
      </c>
      <c r="J375" s="188">
        <f ca="1">IFERROR(__xludf.DUMMYFUNCTION("IMPORTRANGE(""https://docs.google.com/spreadsheets/d/1SX6NBoVAgQJ6U1MVXOaj8PK2l7WJ3RER9xtqwdhxkhw/edit?usp=sharing"",""ปทุมธานี!J270"")"),12)</f>
        <v>12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IFERROR(__xludf.DUMMYFUNCTION("IMPORTRANGE(""https://docs.google.com/spreadsheets/d/1SX6NBoVAgQJ6U1MVXOaj8PK2l7WJ3RER9xtqwdhxkhw/edit?usp=sharing"",""ปทุมธานี!I271"")"),12)</f>
        <v>12</v>
      </c>
      <c r="J376" s="189">
        <f ca="1">IFERROR(__xludf.DUMMYFUNCTION("IMPORTRANGE(""https://docs.google.com/spreadsheets/d/1SX6NBoVAgQJ6U1MVXOaj8PK2l7WJ3RER9xtqwdhxkhw/edit?usp=sharing"",""ปทุมธานี!J271"")"),12)</f>
        <v>12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IFERROR(__xludf.DUMMYFUNCTION("IMPORTRANGE(""https://docs.google.com/spreadsheets/d/1SX6NBoVAgQJ6U1MVXOaj8PK2l7WJ3RER9xtqwdhxkhw/edit?usp=sharing"",""ปทุมธานี!I272"")"),0)</f>
        <v>0</v>
      </c>
      <c r="J377" s="204">
        <f ca="1">IFERROR(__xludf.DUMMYFUNCTION("IMPORTRANGE(""https://docs.google.com/spreadsheets/d/1SX6NBoVAgQJ6U1MVXOaj8PK2l7WJ3RER9xtqwdhxkhw/edit?usp=sharing"",""ปทุมธานี!J272"")"),0)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IFERROR(__xludf.DUMMYFUNCTION("IMPORTRANGE(""https://docs.google.com/spreadsheets/d/1SX6NBoVAgQJ6U1MVXOaj8PK2l7WJ3RER9xtqwdhxkhw/edit?usp=sharing"",""ปทุมธานี!J273"")"),0)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IFERROR(__xludf.DUMMYFUNCTION("IMPORTRANGE(""https://docs.google.com/spreadsheets/d/1SX6NBoVAgQJ6U1MVXOaj8PK2l7WJ3RER9xtqwdhxkhw/edit?usp=sharing"",""ปทุมธานี!J274"")"),0)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IFERROR(__xludf.DUMMYFUNCTION("IMPORTRANGE(""https://docs.google.com/spreadsheets/d/1SX6NBoVAgQJ6U1MVXOaj8PK2l7WJ3RER9xtqwdhxkhw/edit?usp=sharing"",""ปทุมธานี!M275"")"),77809)</f>
        <v>77809</v>
      </c>
      <c r="O380" s="373">
        <f ca="1">+IF(L380&gt;0,N380*100/L380,0)</f>
        <v>88.711663436324244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IFERROR(__xludf.DUMMYFUNCTION("IMPORTRANGE(""https://docs.google.com/spreadsheets/d/1SX6NBoVAgQJ6U1MVXOaj8PK2l7WJ3RER9xtqwdhxkhw/edit?usp=sharing"",""ปทุมธานี!L277"")"),0)</f>
        <v>0</v>
      </c>
      <c r="M382" s="164"/>
      <c r="N382" s="164">
        <f ca="1">IFERROR(__xludf.DUMMYFUNCTION("IMPORTRANGE(""https://docs.google.com/spreadsheets/d/1SX6NBoVAgQJ6U1MVXOaj8PK2l7WJ3RER9xtqwdhxkhw/edit?usp=sharing"",""ปทุมธานี!M277"")"),0)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IFERROR(__xludf.DUMMYFUNCTION("IMPORTRANGE(""https://docs.google.com/spreadsheets/d/1SX6NBoVAgQJ6U1MVXOaj8PK2l7WJ3RER9xtqwdhxkhw/edit?usp=sharing"",""ปทุมธานี!L278"")"),87710)</f>
        <v>87710</v>
      </c>
      <c r="M383" s="165"/>
      <c r="N383" s="165">
        <f ca="1">IFERROR(__xludf.DUMMYFUNCTION("IMPORTRANGE(""https://docs.google.com/spreadsheets/d/1SX6NBoVAgQJ6U1MVXOaj8PK2l7WJ3RER9xtqwdhxkhw/edit?usp=sharing"",""ปทุมธานี!M278"")"),77809)</f>
        <v>77809</v>
      </c>
      <c r="O383" s="165">
        <f t="shared" ca="1" si="109"/>
        <v>88.711663436324244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IFERROR(__xludf.DUMMYFUNCTION("IMPORTRANGE(""https://docs.google.com/spreadsheets/d/1SX6NBoVAgQJ6U1MVXOaj8PK2l7WJ3RER9xtqwdhxkhw/edit?usp=sharing"",""ปทุมธานี!L279"")"),0)</f>
        <v>0</v>
      </c>
      <c r="M384" s="169"/>
      <c r="N384" s="169">
        <f ca="1">IFERROR(__xludf.DUMMYFUNCTION("IMPORTRANGE(""https://docs.google.com/spreadsheets/d/1SX6NBoVAgQJ6U1MVXOaj8PK2l7WJ3RER9xtqwdhxkhw/edit?usp=sharing"",""ปทุมธานี!M279"")"),0)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IFERROR(__xludf.DUMMYFUNCTION("IMPORTRANGE(""https://docs.google.com/spreadsheets/d/1SX6NBoVAgQJ6U1MVXOaj8PK2l7WJ3RER9xtqwdhxkhw/edit?usp=sharing"",""ปทุมธานี!L280"")"),87710)</f>
        <v>87710</v>
      </c>
      <c r="M385" s="169"/>
      <c r="N385" s="168">
        <f ca="1">IFERROR(__xludf.DUMMYFUNCTION("IMPORTRANGE(""https://docs.google.com/spreadsheets/d/1SX6NBoVAgQJ6U1MVXOaj8PK2l7WJ3RER9xtqwdhxkhw/edit?usp=sharing"",""ปทุมธานี!M280"")"),77809)</f>
        <v>77809</v>
      </c>
      <c r="O385" s="169">
        <f t="shared" ca="1" si="109"/>
        <v>88.711663436324244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IFERROR(__xludf.DUMMYFUNCTION("IMPORTRANGE(""https://docs.google.com/spreadsheets/d/1SX6NBoVAgQJ6U1MVXOaj8PK2l7WJ3RER9xtqwdhxkhw/edit?usp=sharing"",""ปทุมธานี!M281"")"),34409)</f>
        <v>34409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IFERROR(__xludf.DUMMYFUNCTION("IMPORTRANGE(""https://docs.google.com/spreadsheets/d/1SX6NBoVAgQJ6U1MVXOaj8PK2l7WJ3RER9xtqwdhxkhw/edit?usp=sharing"",""ปทุมธานี!M282"")"),31250)</f>
        <v>31250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IFERROR(__xludf.DUMMYFUNCTION("IMPORTRANGE(""https://docs.google.com/spreadsheets/d/1SX6NBoVAgQJ6U1MVXOaj8PK2l7WJ3RER9xtqwdhxkhw/edit?usp=sharing"",""ปทุมธานี!M284"")"),12150)</f>
        <v>12150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IFERROR(__xludf.DUMMYFUNCTION("IMPORTRANGE(""https://docs.google.com/spreadsheets/d/1SX6NBoVAgQJ6U1MVXOaj8PK2l7WJ3RER9xtqwdhxkhw/edit?usp=sharing"",""ปทุมธานี!J286"")"),0)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IFERROR(__xludf.DUMMYFUNCTION("IMPORTRANGE(""https://docs.google.com/spreadsheets/d/1SX6NBoVAgQJ6U1MVXOaj8PK2l7WJ3RER9xtqwdhxkhw/edit?usp=sharing"",""ปทุมธานี!J287"")"),1)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IFERROR(__xludf.DUMMYFUNCTION("IMPORTRANGE(""https://docs.google.com/spreadsheets/d/1SX6NBoVAgQJ6U1MVXOaj8PK2l7WJ3RER9xtqwdhxkhw/edit?usp=sharing"",""ปทุมธานี!J288"")"),1)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IFERROR(__xludf.DUMMYFUNCTION("IMPORTRANGE(""https://docs.google.com/spreadsheets/d/1SX6NBoVAgQJ6U1MVXOaj8PK2l7WJ3RER9xtqwdhxkhw/edit?usp=sharing"",""ปทุมธานี!J289"")"),1)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IFERROR(__xludf.DUMMYFUNCTION("IMPORTRANGE(""https://docs.google.com/spreadsheets/d/1SX6NBoVAgQJ6U1MVXOaj8PK2l7WJ3RER9xtqwdhxkhw/edit?usp=sharing"",""ปทุมธานี!I291"")"),5)</f>
        <v>5</v>
      </c>
      <c r="J396" s="198">
        <f ca="1">IFERROR(__xludf.DUMMYFUNCTION("IMPORTRANGE(""https://docs.google.com/spreadsheets/d/1SX6NBoVAgQJ6U1MVXOaj8PK2l7WJ3RER9xtqwdhxkhw/edit?usp=sharing"",""ปทุมธานี!J291"")"),10)</f>
        <v>10</v>
      </c>
      <c r="K396" s="163">
        <f t="shared" ref="K396:K398" ca="1" si="110">IF(I396&gt;0,J396*100/I396,0)</f>
        <v>200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IFERROR(__xludf.DUMMYFUNCTION("IMPORTRANGE(""https://docs.google.com/spreadsheets/d/1SX6NBoVAgQJ6U1MVXOaj8PK2l7WJ3RER9xtqwdhxkhw/edit?usp=sharing"",""ปทุมธานี!I292"")"),50)</f>
        <v>50</v>
      </c>
      <c r="J397" s="198">
        <f ca="1">IFERROR(__xludf.DUMMYFUNCTION("IMPORTRANGE(""https://docs.google.com/spreadsheets/d/1SX6NBoVAgQJ6U1MVXOaj8PK2l7WJ3RER9xtqwdhxkhw/edit?usp=sharing"",""ปทุมธานี!J292"")"),50)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IFERROR(__xludf.DUMMYFUNCTION("IMPORTRANGE(""https://docs.google.com/spreadsheets/d/1SX6NBoVAgQJ6U1MVXOaj8PK2l7WJ3RER9xtqwdhxkhw/edit?usp=sharing"",""ปทุมธานี!I293"")"),5)</f>
        <v>5</v>
      </c>
      <c r="J398" s="198">
        <f ca="1">IFERROR(__xludf.DUMMYFUNCTION("IMPORTRANGE(""https://docs.google.com/spreadsheets/d/1SX6NBoVAgQJ6U1MVXOaj8PK2l7WJ3RER9xtqwdhxkhw/edit?usp=sharing"",""ปทุมธานี!J293"")"),5)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IFERROR(__xludf.DUMMYFUNCTION("IMPORTRANGE(""https://docs.google.com/spreadsheets/d/1SX6NBoVAgQJ6U1MVXOaj8PK2l7WJ3RER9xtqwdhxkhw/edit?usp=sharing"",""ปทุมธานี!J294"")"),0)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IFERROR(__xludf.DUMMYFUNCTION("IMPORTRANGE(""https://docs.google.com/spreadsheets/d/1SX6NBoVAgQJ6U1MVXOaj8PK2l7WJ3RER9xtqwdhxkhw/edit?usp=sharing"",""ปทุมธานี!J295"")"),0)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IFERROR(__xludf.DUMMYFUNCTION("IMPORTRANGE(""https://docs.google.com/spreadsheets/d/1SX6NBoVAgQJ6U1MVXOaj8PK2l7WJ3RER9xtqwdhxkhw/edit?usp=sharing"",""ปทุมธานี!J296"")"),115)</f>
        <v>115</v>
      </c>
      <c r="K401" s="372">
        <f t="shared" ref="K401:K402" ca="1" si="111">IF(I401&gt;0,J401*100/I401,0)</f>
        <v>85.18518518518519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IFERROR(__xludf.DUMMYFUNCTION("IMPORTRANGE(""https://docs.google.com/spreadsheets/d/1SX6NBoVAgQJ6U1MVXOaj8PK2l7WJ3RER9xtqwdhxkhw/edit?usp=sharing"",""ปทุมธานี!M296"")"),146880)</f>
        <v>146880</v>
      </c>
      <c r="O401" s="373">
        <f ca="1">+IF(L401&gt;0,N401*100/L401,0)</f>
        <v>78.419647624132409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IFERROR(__xludf.DUMMYFUNCTION("IMPORTRANGE(""https://docs.google.com/spreadsheets/d/1SX6NBoVAgQJ6U1MVXOaj8PK2l7WJ3RER9xtqwdhxkhw/edit?usp=sharing"",""ปทุมธานี!L298"")"),0)</f>
        <v>0</v>
      </c>
      <c r="M403" s="164"/>
      <c r="N403" s="169">
        <f ca="1">IFERROR(__xludf.DUMMYFUNCTION("IMPORTRANGE(""https://docs.google.com/spreadsheets/d/1SX6NBoVAgQJ6U1MVXOaj8PK2l7WJ3RER9xtqwdhxkhw/edit?usp=sharing"",""ปทุมธานี!M298"")"),0)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IFERROR(__xludf.DUMMYFUNCTION("IMPORTRANGE(""https://docs.google.com/spreadsheets/d/1SX6NBoVAgQJ6U1MVXOaj8PK2l7WJ3RER9xtqwdhxkhw/edit?usp=sharing"",""ปทุมธานี!L299"")"),187300)</f>
        <v>187300</v>
      </c>
      <c r="M404" s="165"/>
      <c r="N404" s="169">
        <f ca="1">IFERROR(__xludf.DUMMYFUNCTION("IMPORTRANGE(""https://docs.google.com/spreadsheets/d/1SX6NBoVAgQJ6U1MVXOaj8PK2l7WJ3RER9xtqwdhxkhw/edit?usp=sharing"",""ปทุมธานี!M299"")"),146880)</f>
        <v>146880</v>
      </c>
      <c r="O404" s="169">
        <f t="shared" ca="1" si="112"/>
        <v>78.419647624132409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IFERROR(__xludf.DUMMYFUNCTION("IMPORTRANGE(""https://docs.google.com/spreadsheets/d/1SX6NBoVAgQJ6U1MVXOaj8PK2l7WJ3RER9xtqwdhxkhw/edit?usp=sharing"",""ปทุมธานี!L300"")"),0)</f>
        <v>0</v>
      </c>
      <c r="M405" s="169"/>
      <c r="N405" s="169">
        <f ca="1">IFERROR(__xludf.DUMMYFUNCTION("IMPORTRANGE(""https://docs.google.com/spreadsheets/d/1SX6NBoVAgQJ6U1MVXOaj8PK2l7WJ3RER9xtqwdhxkhw/edit?usp=sharing"",""ปทุมธานี!M300"")"),0)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IFERROR(__xludf.DUMMYFUNCTION("IMPORTRANGE(""https://docs.google.com/spreadsheets/d/1SX6NBoVAgQJ6U1MVXOaj8PK2l7WJ3RER9xtqwdhxkhw/edit?usp=sharing"",""ปทุมธานี!L301"")"),187300)</f>
        <v>187300</v>
      </c>
      <c r="M406" s="169"/>
      <c r="N406" s="169">
        <f ca="1">IFERROR(__xludf.DUMMYFUNCTION("IMPORTRANGE(""https://docs.google.com/spreadsheets/d/1SX6NBoVAgQJ6U1MVXOaj8PK2l7WJ3RER9xtqwdhxkhw/edit?usp=sharing"",""ปทุมธานี!M301"")"),146880)</f>
        <v>146880</v>
      </c>
      <c r="O406" s="169">
        <f t="shared" ca="1" si="112"/>
        <v>78.419647624132409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IFERROR(__xludf.DUMMYFUNCTION("IMPORTRANGE(""https://docs.google.com/spreadsheets/d/1SX6NBoVAgQJ6U1MVXOaj8PK2l7WJ3RER9xtqwdhxkhw/edit?usp=sharing"",""ปทุมธานี!M302"")"),132780)</f>
        <v>132780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IFERROR(__xludf.DUMMYFUNCTION("IMPORTRANGE(""https://docs.google.com/spreadsheets/d/1SX6NBoVAgQJ6U1MVXOaj8PK2l7WJ3RER9xtqwdhxkhw/edit?usp=sharing"",""ปทุมธานี!M303"")"),0)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IFERROR(__xludf.DUMMYFUNCTION("IMPORTRANGE(""https://docs.google.com/spreadsheets/d/1SX6NBoVAgQJ6U1MVXOaj8PK2l7WJ3RER9xtqwdhxkhw/edit?usp=sharing"",""ปทุมธานี!M305"")"),14100)</f>
        <v>14100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IFERROR(__xludf.DUMMYFUNCTION("IMPORTRANGE(""https://docs.google.com/spreadsheets/d/1SX6NBoVAgQJ6U1MVXOaj8PK2l7WJ3RER9xtqwdhxkhw/edit?usp=sharing"",""ปทุมธานี!J307"")"),0)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IFERROR(__xludf.DUMMYFUNCTION("IMPORTRANGE(""https://docs.google.com/spreadsheets/d/1SX6NBoVAgQJ6U1MVXOaj8PK2l7WJ3RER9xtqwdhxkhw/edit?usp=sharing"",""ปทุมธานี!J308"")"),1)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IFERROR(__xludf.DUMMYFUNCTION("IMPORTRANGE(""https://docs.google.com/spreadsheets/d/1SX6NBoVAgQJ6U1MVXOaj8PK2l7WJ3RER9xtqwdhxkhw/edit?usp=sharing"",""ปทุมธานี!J309"")"),1)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IFERROR(__xludf.DUMMYFUNCTION("IMPORTRANGE(""https://docs.google.com/spreadsheets/d/1SX6NBoVAgQJ6U1MVXOaj8PK2l7WJ3RER9xtqwdhxkhw/edit?usp=sharing"",""ปทุมธานี!J310"")"),1)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IFERROR(__xludf.DUMMYFUNCTION("IMPORTRANGE(""https://docs.google.com/spreadsheets/d/1SX6NBoVAgQJ6U1MVXOaj8PK2l7WJ3RER9xtqwdhxkhw/edit?usp=sharing"",""ปทุมธานี!I311"")"),45)</f>
        <v>45</v>
      </c>
      <c r="J416" s="201">
        <f ca="1">IFERROR(__xludf.DUMMYFUNCTION("IMPORTRANGE(""https://docs.google.com/spreadsheets/d/1SX6NBoVAgQJ6U1MVXOaj8PK2l7WJ3RER9xtqwdhxkhw/edit?usp=sharing"",""ปทุมธานี!J311"")"),45)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IFERROR(__xludf.DUMMYFUNCTION("IMPORTRANGE(""https://docs.google.com/spreadsheets/d/1SX6NBoVAgQJ6U1MVXOaj8PK2l7WJ3RER9xtqwdhxkhw/edit?usp=sharing"",""ปทุมธานี!J322"")"),10)</f>
        <v>10</v>
      </c>
      <c r="K427" s="202">
        <f t="shared" ca="1" si="113"/>
        <v>33.333333333333336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IFERROR(__xludf.DUMMYFUNCTION("IMPORTRANGE(""https://docs.google.com/spreadsheets/d/1SX6NBoVAgQJ6U1MVXOaj8PK2l7WJ3RER9xtqwdhxkhw/edit?usp=sharing"",""ปทุมธานี!J328"")"),0)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IFERROR(__xludf.DUMMYFUNCTION("IMPORTRANGE(""https://docs.google.com/spreadsheets/d/1SX6NBoVAgQJ6U1MVXOaj8PK2l7WJ3RER9xtqwdhxkhw/edit?usp=sharing"",""ปทุมธานี!J329"")"),0)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IFERROR(__xludf.DUMMYFUNCTION("IMPORTRANGE(""https://docs.google.com/spreadsheets/d/1SX6NBoVAgQJ6U1MVXOaj8PK2l7WJ3RER9xtqwdhxkhw/edit?usp=sharing"",""ปทุมธานี!M330"")"),56057)</f>
        <v>56057</v>
      </c>
      <c r="O435" s="412">
        <f t="shared" ref="O435:O439" ca="1" si="114">+IF(L435&gt;0,N435*100/L435,0)</f>
        <v>73.759210526315783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IFERROR(__xludf.DUMMYFUNCTION("IMPORTRANGE(""https://docs.google.com/spreadsheets/d/1SX6NBoVAgQJ6U1MVXOaj8PK2l7WJ3RER9xtqwdhxkhw/edit?usp=sharing"",""ปทุมธานี!L331"")"),0)</f>
        <v>0</v>
      </c>
      <c r="M436" s="164"/>
      <c r="N436" s="169">
        <f ca="1">IFERROR(__xludf.DUMMYFUNCTION("IMPORTRANGE(""https://docs.google.com/spreadsheets/d/1SX6NBoVAgQJ6U1MVXOaj8PK2l7WJ3RER9xtqwdhxkhw/edit?usp=sharing"",""ปทุมธานี!M331"")"),0)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IFERROR(__xludf.DUMMYFUNCTION("IMPORTRANGE(""https://docs.google.com/spreadsheets/d/1SX6NBoVAgQJ6U1MVXOaj8PK2l7WJ3RER9xtqwdhxkhw/edit?usp=sharing"",""ปทุมธานี!L332"")"),76000)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IFERROR(__xludf.DUMMYFUNCTION("IMPORTRANGE(""https://docs.google.com/spreadsheets/d/1SX6NBoVAgQJ6U1MVXOaj8PK2l7WJ3RER9xtqwdhxkhw/edit?usp=sharing"",""ปทุมธานี!M332"")"),56057)</f>
        <v>56057</v>
      </c>
      <c r="O437" s="169">
        <f t="shared" ca="1" si="114"/>
        <v>73.759210526315783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IFERROR(__xludf.DUMMYFUNCTION("IMPORTRANGE(""https://docs.google.com/spreadsheets/d/1SX6NBoVAgQJ6U1MVXOaj8PK2l7WJ3RER9xtqwdhxkhw/edit?usp=sharing"",""ปทุมธานี!L333"")"),0)</f>
        <v>0</v>
      </c>
      <c r="M438" s="169"/>
      <c r="N438" s="169">
        <f ca="1">IFERROR(__xludf.DUMMYFUNCTION("IMPORTRANGE(""https://docs.google.com/spreadsheets/d/1SX6NBoVAgQJ6U1MVXOaj8PK2l7WJ3RER9xtqwdhxkhw/edit?usp=sharing"",""ปทุมธานี!M333"")"),0)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IFERROR(__xludf.DUMMYFUNCTION("IMPORTRANGE(""https://docs.google.com/spreadsheets/d/1SX6NBoVAgQJ6U1MVXOaj8PK2l7WJ3RER9xtqwdhxkhw/edit?usp=sharing"",""ปทุมธานี!L334"")"),76000)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IFERROR(__xludf.DUMMYFUNCTION("IMPORTRANGE(""https://docs.google.com/spreadsheets/d/1SX6NBoVAgQJ6U1MVXOaj8PK2l7WJ3RER9xtqwdhxkhw/edit?usp=sharing"",""ปทุมธานี!M334"")"),56057)</f>
        <v>56057</v>
      </c>
      <c r="O439" s="169">
        <f t="shared" ca="1" si="114"/>
        <v>73.759210526315783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IFERROR(__xludf.DUMMYFUNCTION("IMPORTRANGE(""https://docs.google.com/spreadsheets/d/1SX6NBoVAgQJ6U1MVXOaj8PK2l7WJ3RER9xtqwdhxkhw/edit?usp=sharing"",""ปทุมธานี!M335"")"),43257)</f>
        <v>43257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IFERROR(__xludf.DUMMYFUNCTION("IMPORTRANGE(""https://docs.google.com/spreadsheets/d/1SX6NBoVAgQJ6U1MVXOaj8PK2l7WJ3RER9xtqwdhxkhw/edit?usp=sharing"",""ปทุมธานี!M338"")"),12800)</f>
        <v>12800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IFERROR(__xludf.DUMMYFUNCTION("IMPORTRANGE(""https://docs.google.com/spreadsheets/d/1SX6NBoVAgQJ6U1MVXOaj8PK2l7WJ3RER9xtqwdhxkhw/edit?usp=sharing"",""ปทุมธานี!J340"")"),0)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IFERROR(__xludf.DUMMYFUNCTION("IMPORTRANGE(""https://docs.google.com/spreadsheets/d/1SX6NBoVAgQJ6U1MVXOaj8PK2l7WJ3RER9xtqwdhxkhw/edit?usp=sharing"",""ปทุมธานี!J341"")"),1)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IFERROR(__xludf.DUMMYFUNCTION("IMPORTRANGE(""https://docs.google.com/spreadsheets/d/1SX6NBoVAgQJ6U1MVXOaj8PK2l7WJ3RER9xtqwdhxkhw/edit?usp=sharing"",""ปทุมธานี!J342"")"),1)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IFERROR(__xludf.DUMMYFUNCTION("IMPORTRANGE(""https://docs.google.com/spreadsheets/d/1SX6NBoVAgQJ6U1MVXOaj8PK2l7WJ3RER9xtqwdhxkhw/edit?usp=sharing"",""ปทุมธานี!J343"")"),1)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1">
        <f ca="1">IFERROR(__xludf.DUMMYFUNCTION("IMPORTRANGE(""https://docs.google.com/spreadsheets/d/1SX6NBoVAgQJ6U1MVXOaj8PK2l7WJ3RER9xtqwdhxkhw/edit?usp=sharing"",""ปทุมธานี!J344"")"),10)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IFERROR(__xludf.DUMMYFUNCTION("IMPORTRANGE(""https://docs.google.com/spreadsheets/d/1SX6NBoVAgQJ6U1MVXOaj8PK2l7WJ3RER9xtqwdhxkhw/edit?usp=sharing"",""ปทุมธานี!I345"")"),10)</f>
        <v>10</v>
      </c>
      <c r="J450" s="189">
        <f ca="1">IFERROR(__xludf.DUMMYFUNCTION("IMPORTRANGE(""https://docs.google.com/spreadsheets/d/1SX6NBoVAgQJ6U1MVXOaj8PK2l7WJ3RER9xtqwdhxkhw/edit?usp=sharing"",""ปทุมธานี!J345"")"),10)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IFERROR(__xludf.DUMMYFUNCTION("IMPORTRANGE(""https://docs.google.com/spreadsheets/d/1SX6NBoVAgQJ6U1MVXOaj8PK2l7WJ3RER9xtqwdhxkhw/edit?usp=sharing"",""ปทุมธานี!I346"")"),0)</f>
        <v>0</v>
      </c>
      <c r="J451" s="188">
        <f ca="1">IFERROR(__xludf.DUMMYFUNCTION("IMPORTRANGE(""https://docs.google.com/spreadsheets/d/1SX6NBoVAgQJ6U1MVXOaj8PK2l7WJ3RER9xtqwdhxkhw/edit?usp=sharing"",""ปทุมธานี!J346"")"),0)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IFERROR(__xludf.DUMMYFUNCTION("IMPORTRANGE(""https://docs.google.com/spreadsheets/d/1SX6NBoVAgQJ6U1MVXOaj8PK2l7WJ3RER9xtqwdhxkhw/edit?usp=sharing"",""ปทุมธานี!I347"")"),0)</f>
        <v>0</v>
      </c>
      <c r="J452" s="188">
        <f ca="1">IFERROR(__xludf.DUMMYFUNCTION("IMPORTRANGE(""https://docs.google.com/spreadsheets/d/1SX6NBoVAgQJ6U1MVXOaj8PK2l7WJ3RER9xtqwdhxkhw/edit?usp=sharing"",""ปทุมธานี!J347"")"),0)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IFERROR(__xludf.DUMMYFUNCTION("IMPORTRANGE(""https://docs.google.com/spreadsheets/d/1SX6NBoVAgQJ6U1MVXOaj8PK2l7WJ3RER9xtqwdhxkhw/edit?usp=sharing"",""ปทุมธานี!J348"")"),0)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IFERROR(__xludf.DUMMYFUNCTION("IMPORTRANGE(""https://docs.google.com/spreadsheets/d/1SX6NBoVAgQJ6U1MVXOaj8PK2l7WJ3RER9xtqwdhxkhw/edit?usp=sharing"",""ปทุมธานี!J349"")"),0)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IFERROR(__xludf.DUMMYFUNCTION("IMPORTRANGE(""https://docs.google.com/spreadsheets/d/1SX6NBoVAgQJ6U1MVXOaj8PK2l7WJ3RER9xtqwdhxkhw/edit?usp=sharing"",""ปทุมธานี!L351"")"),0)</f>
        <v>0</v>
      </c>
      <c r="M456" s="164"/>
      <c r="N456" s="169">
        <f ca="1">IFERROR(__xludf.DUMMYFUNCTION("IMPORTRANGE(""https://docs.google.com/spreadsheets/d/1SX6NBoVAgQJ6U1MVXOaj8PK2l7WJ3RER9xtqwdhxkhw/edit?usp=sharing"",""ปทุมธานี!M351"")"),0)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IFERROR(__xludf.DUMMYFUNCTION("IMPORTRANGE(""https://docs.google.com/spreadsheets/d/1SX6NBoVAgQJ6U1MVXOaj8PK2l7WJ3RER9xtqwdhxkhw/edit?usp=sharing"",""ปทุมธานี!L352"")"),0)</f>
        <v>0</v>
      </c>
      <c r="M457" s="165"/>
      <c r="N457" s="169">
        <f ca="1">IFERROR(__xludf.DUMMYFUNCTION("IMPORTRANGE(""https://docs.google.com/spreadsheets/d/1SX6NBoVAgQJ6U1MVXOaj8PK2l7WJ3RER9xtqwdhxkhw/edit?usp=sharing"",""ปทุมธานี!M352"")"),0)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IFERROR(__xludf.DUMMYFUNCTION("IMPORTRANGE(""https://docs.google.com/spreadsheets/d/1SX6NBoVAgQJ6U1MVXOaj8PK2l7WJ3RER9xtqwdhxkhw/edit?usp=sharing"",""ปทุมธานี!L353"")"),0)</f>
        <v>0</v>
      </c>
      <c r="M458" s="169"/>
      <c r="N458" s="169">
        <f ca="1">IFERROR(__xludf.DUMMYFUNCTION("IMPORTRANGE(""https://docs.google.com/spreadsheets/d/1SX6NBoVAgQJ6U1MVXOaj8PK2l7WJ3RER9xtqwdhxkhw/edit?usp=sharing"",""ปทุมธานี!M353"")"),0)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IFERROR(__xludf.DUMMYFUNCTION("IMPORTRANGE(""https://docs.google.com/spreadsheets/d/1SX6NBoVAgQJ6U1MVXOaj8PK2l7WJ3RER9xtqwdhxkhw/edit?usp=sharing"",""ปทุมธานี!L354"")"),0)</f>
        <v>0</v>
      </c>
      <c r="M459" s="169"/>
      <c r="N459" s="169">
        <f ca="1">IFERROR(__xludf.DUMMYFUNCTION("IMPORTRANGE(""https://docs.google.com/spreadsheets/d/1SX6NBoVAgQJ6U1MVXOaj8PK2l7WJ3RER9xtqwdhxkhw/edit?usp=sharing"",""ปทุมธานี!M354"")"),0)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IFERROR(__xludf.DUMMYFUNCTION("IMPORTRANGE(""https://docs.google.com/spreadsheets/d/1SX6NBoVAgQJ6U1MVXOaj8PK2l7WJ3RER9xtqwdhxkhw/edit?usp=sharing"",""ปทุมธานี!M355"")"),0)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IFERROR(__xludf.DUMMYFUNCTION("IMPORTRANGE(""https://docs.google.com/spreadsheets/d/1SX6NBoVAgQJ6U1MVXOaj8PK2l7WJ3RER9xtqwdhxkhw/edit?usp=sharing"",""ปทุมธานี!M356"")"),0)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IFERROR(__xludf.DUMMYFUNCTION("IMPORTRANGE(""https://docs.google.com/spreadsheets/d/1SX6NBoVAgQJ6U1MVXOaj8PK2l7WJ3RER9xtqwdhxkhw/edit?usp=sharing"",""ปทุมธานี!I359"")"),0)</f>
        <v>0</v>
      </c>
      <c r="J464" s="268">
        <f ca="1">IFERROR(__xludf.DUMMYFUNCTION("IMPORTRANGE(""https://docs.google.com/spreadsheets/d/1SX6NBoVAgQJ6U1MVXOaj8PK2l7WJ3RER9xtqwdhxkhw/edit?usp=sharing"",""ปทุมธานี!J359"")"),0)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IFERROR(__xludf.DUMMYFUNCTION("IMPORTRANGE(""https://docs.google.com/spreadsheets/d/1SX6NBoVAgQJ6U1MVXOaj8PK2l7WJ3RER9xtqwdhxkhw/edit?usp=sharing"",""ปทุมธานี!I362"")"),0)</f>
        <v>0</v>
      </c>
      <c r="J467" s="189">
        <f ca="1">IFERROR(__xludf.DUMMYFUNCTION("IMPORTRANGE(""https://docs.google.com/spreadsheets/d/1SX6NBoVAgQJ6U1MVXOaj8PK2l7WJ3RER9xtqwdhxkhw/edit?usp=sharing"",""ปทุมธานี!J362"")"),0)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IFERROR(__xludf.DUMMYFUNCTION("IMPORTRANGE(""https://docs.google.com/spreadsheets/d/1SX6NBoVAgQJ6U1MVXOaj8PK2l7WJ3RER9xtqwdhxkhw/edit?usp=sharing"",""ปทุมธานี!I363"")"),0)</f>
        <v>0</v>
      </c>
      <c r="J468" s="189">
        <f ca="1">IFERROR(__xludf.DUMMYFUNCTION("IMPORTRANGE(""https://docs.google.com/spreadsheets/d/1SX6NBoVAgQJ6U1MVXOaj8PK2l7WJ3RER9xtqwdhxkhw/edit?usp=sharing"",""ปทุมธานี!J363"")"),0)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IFERROR(__xludf.DUMMYFUNCTION("IMPORTRANGE(""https://docs.google.com/spreadsheets/d/1SX6NBoVAgQJ6U1MVXOaj8PK2l7WJ3RER9xtqwdhxkhw/edit?usp=sharing"",""ปทุมธานี!I364"")"),0)</f>
        <v>0</v>
      </c>
      <c r="J469" s="189">
        <f ca="1">IFERROR(__xludf.DUMMYFUNCTION("IMPORTRANGE(""https://docs.google.com/spreadsheets/d/1SX6NBoVAgQJ6U1MVXOaj8PK2l7WJ3RER9xtqwdhxkhw/edit?usp=sharing"",""ปทุมธานี!J364"")"),0)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IFERROR(__xludf.DUMMYFUNCTION("IMPORTRANGE(""https://docs.google.com/spreadsheets/d/1SX6NBoVAgQJ6U1MVXOaj8PK2l7WJ3RER9xtqwdhxkhw/edit?usp=sharing"",""ปทุมธานี!I365"")"),0)</f>
        <v>0</v>
      </c>
      <c r="J470" s="189">
        <f ca="1">IFERROR(__xludf.DUMMYFUNCTION("IMPORTRANGE(""https://docs.google.com/spreadsheets/d/1SX6NBoVAgQJ6U1MVXOaj8PK2l7WJ3RER9xtqwdhxkhw/edit?usp=sharing"",""ปทุมธานี!J365"")"),0)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IFERROR(__xludf.DUMMYFUNCTION("IMPORTRANGE(""https://docs.google.com/spreadsheets/d/1SX6NBoVAgQJ6U1MVXOaj8PK2l7WJ3RER9xtqwdhxkhw/edit?usp=sharing"",""ปทุมธานี!I366"")"),0)</f>
        <v>0</v>
      </c>
      <c r="J471" s="189">
        <f ca="1">IFERROR(__xludf.DUMMYFUNCTION("IMPORTRANGE(""https://docs.google.com/spreadsheets/d/1SX6NBoVAgQJ6U1MVXOaj8PK2l7WJ3RER9xtqwdhxkhw/edit?usp=sharing"",""ปทุมธานี!J366"")"),0)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IFERROR(__xludf.DUMMYFUNCTION("IMPORTRANGE(""https://docs.google.com/spreadsheets/d/1SX6NBoVAgQJ6U1MVXOaj8PK2l7WJ3RER9xtqwdhxkhw/edit?usp=sharing"",""ปทุมธานี!I367"")"),0)</f>
        <v>0</v>
      </c>
      <c r="J472" s="189">
        <f ca="1">IFERROR(__xludf.DUMMYFUNCTION("IMPORTRANGE(""https://docs.google.com/spreadsheets/d/1SX6NBoVAgQJ6U1MVXOaj8PK2l7WJ3RER9xtqwdhxkhw/edit?usp=sharing"",""ปทุมธานี!J367"")"),0)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IFERROR(__xludf.DUMMYFUNCTION("IMPORTRANGE(""https://docs.google.com/spreadsheets/d/1SX6NBoVAgQJ6U1MVXOaj8PK2l7WJ3RER9xtqwdhxkhw/edit?usp=sharing"",""ปทุมธานี!I370"")"),0)</f>
        <v>0</v>
      </c>
      <c r="J475" s="189">
        <f ca="1">IFERROR(__xludf.DUMMYFUNCTION("IMPORTRANGE(""https://docs.google.com/spreadsheets/d/1SX6NBoVAgQJ6U1MVXOaj8PK2l7WJ3RER9xtqwdhxkhw/edit?usp=sharing"",""ปทุมธานี!J370"")"),0)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IFERROR(__xludf.DUMMYFUNCTION("IMPORTRANGE(""https://docs.google.com/spreadsheets/d/1SX6NBoVAgQJ6U1MVXOaj8PK2l7WJ3RER9xtqwdhxkhw/edit?usp=sharing"",""ปทุมธานี!I371"")"),0)</f>
        <v>0</v>
      </c>
      <c r="J476" s="189">
        <f ca="1">IFERROR(__xludf.DUMMYFUNCTION("IMPORTRANGE(""https://docs.google.com/spreadsheets/d/1SX6NBoVAgQJ6U1MVXOaj8PK2l7WJ3RER9xtqwdhxkhw/edit?usp=sharing"",""ปทุมธานี!J371"")"),0)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IFERROR(__xludf.DUMMYFUNCTION("IMPORTRANGE(""https://docs.google.com/spreadsheets/d/1SX6NBoVAgQJ6U1MVXOaj8PK2l7WJ3RER9xtqwdhxkhw/edit?usp=sharing"",""ปทุมธานี!I372"")"),0)</f>
        <v>0</v>
      </c>
      <c r="J477" s="189">
        <f ca="1">IFERROR(__xludf.DUMMYFUNCTION("IMPORTRANGE(""https://docs.google.com/spreadsheets/d/1SX6NBoVAgQJ6U1MVXOaj8PK2l7WJ3RER9xtqwdhxkhw/edit?usp=sharing"",""ปทุมธานี!J372"")"),0)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IFERROR(__xludf.DUMMYFUNCTION("IMPORTRANGE(""https://docs.google.com/spreadsheets/d/1SX6NBoVAgQJ6U1MVXOaj8PK2l7WJ3RER9xtqwdhxkhw/edit?usp=sharing"",""ปทุมธานี!I373"")"),0)</f>
        <v>0</v>
      </c>
      <c r="J478" s="189">
        <f ca="1">IFERROR(__xludf.DUMMYFUNCTION("IMPORTRANGE(""https://docs.google.com/spreadsheets/d/1SX6NBoVAgQJ6U1MVXOaj8PK2l7WJ3RER9xtqwdhxkhw/edit?usp=sharing"",""ปทุมธานี!J373"")"),0)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IFERROR(__xludf.DUMMYFUNCTION("IMPORTRANGE(""https://docs.google.com/spreadsheets/d/1SX6NBoVAgQJ6U1MVXOaj8PK2l7WJ3RER9xtqwdhxkhw/edit?usp=sharing"",""ปทุมธานี!I374"")"),0)</f>
        <v>0</v>
      </c>
      <c r="J479" s="189">
        <f ca="1">IFERROR(__xludf.DUMMYFUNCTION("IMPORTRANGE(""https://docs.google.com/spreadsheets/d/1SX6NBoVAgQJ6U1MVXOaj8PK2l7WJ3RER9xtqwdhxkhw/edit?usp=sharing"",""ปทุมธานี!J374"")"),0)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IFERROR(__xludf.DUMMYFUNCTION("IMPORTRANGE(""https://docs.google.com/spreadsheets/d/1SX6NBoVAgQJ6U1MVXOaj8PK2l7WJ3RER9xtqwdhxkhw/edit?usp=sharing"",""ปทุมธานี!I375"")"),0)</f>
        <v>0</v>
      </c>
      <c r="J480" s="189">
        <f ca="1">IFERROR(__xludf.DUMMYFUNCTION("IMPORTRANGE(""https://docs.google.com/spreadsheets/d/1SX6NBoVAgQJ6U1MVXOaj8PK2l7WJ3RER9xtqwdhxkhw/edit?usp=sharing"",""ปทุมธานี!J375"")"),0)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IFERROR(__xludf.DUMMYFUNCTION("IMPORTRANGE(""https://docs.google.com/spreadsheets/d/1SX6NBoVAgQJ6U1MVXOaj8PK2l7WJ3RER9xtqwdhxkhw/edit?usp=sharing"",""ปทุมธานี!I378"")"),0)</f>
        <v>0</v>
      </c>
      <c r="J483" s="189">
        <f ca="1">IFERROR(__xludf.DUMMYFUNCTION("IMPORTRANGE(""https://docs.google.com/spreadsheets/d/1SX6NBoVAgQJ6U1MVXOaj8PK2l7WJ3RER9xtqwdhxkhw/edit?usp=sharing"",""ปทุมธานี!J378"")"),0)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IFERROR(__xludf.DUMMYFUNCTION("IMPORTRANGE(""https://docs.google.com/spreadsheets/d/1SX6NBoVAgQJ6U1MVXOaj8PK2l7WJ3RER9xtqwdhxkhw/edit?usp=sharing"",""ปทุมธานี!I379"")"),0)</f>
        <v>0</v>
      </c>
      <c r="J484" s="189">
        <f ca="1">IFERROR(__xludf.DUMMYFUNCTION("IMPORTRANGE(""https://docs.google.com/spreadsheets/d/1SX6NBoVAgQJ6U1MVXOaj8PK2l7WJ3RER9xtqwdhxkhw/edit?usp=sharing"",""ปทุมธานี!J379"")"),0)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IFERROR(__xludf.DUMMYFUNCTION("IMPORTRANGE(""https://docs.google.com/spreadsheets/d/1SX6NBoVAgQJ6U1MVXOaj8PK2l7WJ3RER9xtqwdhxkhw/edit?usp=sharing"",""ปทุมธานี!I380"")"),0)</f>
        <v>0</v>
      </c>
      <c r="J485" s="189">
        <f ca="1">IFERROR(__xludf.DUMMYFUNCTION("IMPORTRANGE(""https://docs.google.com/spreadsheets/d/1SX6NBoVAgQJ6U1MVXOaj8PK2l7WJ3RER9xtqwdhxkhw/edit?usp=sharing"",""ปทุมธานี!J380"")"),0)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IFERROR(__xludf.DUMMYFUNCTION("IMPORTRANGE(""https://docs.google.com/spreadsheets/d/1SX6NBoVAgQJ6U1MVXOaj8PK2l7WJ3RER9xtqwdhxkhw/edit?usp=sharing"",""ปทุมธานี!I381"")"),0)</f>
        <v>0</v>
      </c>
      <c r="J486" s="189">
        <f ca="1">IFERROR(__xludf.DUMMYFUNCTION("IMPORTRANGE(""https://docs.google.com/spreadsheets/d/1SX6NBoVAgQJ6U1MVXOaj8PK2l7WJ3RER9xtqwdhxkhw/edit?usp=sharing"",""ปทุมธานี!J381"")"),0)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IFERROR(__xludf.DUMMYFUNCTION("IMPORTRANGE(""https://docs.google.com/spreadsheets/d/1SX6NBoVAgQJ6U1MVXOaj8PK2l7WJ3RER9xtqwdhxkhw/edit?usp=sharing"",""ปทุมธานี!I384"")"),0)</f>
        <v>0</v>
      </c>
      <c r="J489" s="189">
        <f ca="1">IFERROR(__xludf.DUMMYFUNCTION("IMPORTRANGE(""https://docs.google.com/spreadsheets/d/1SX6NBoVAgQJ6U1MVXOaj8PK2l7WJ3RER9xtqwdhxkhw/edit?usp=sharing"",""ปทุมธานี!J384"")"),0)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IFERROR(__xludf.DUMMYFUNCTION("IMPORTRANGE(""https://docs.google.com/spreadsheets/d/1SX6NBoVAgQJ6U1MVXOaj8PK2l7WJ3RER9xtqwdhxkhw/edit?usp=sharing"",""ปทุมธานี!I385"")"),0)</f>
        <v>0</v>
      </c>
      <c r="J490" s="189">
        <f ca="1">IFERROR(__xludf.DUMMYFUNCTION("IMPORTRANGE(""https://docs.google.com/spreadsheets/d/1SX6NBoVAgQJ6U1MVXOaj8PK2l7WJ3RER9xtqwdhxkhw/edit?usp=sharing"",""ปทุมธานี!J385"")"),0)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IFERROR(__xludf.DUMMYFUNCTION("IMPORTRANGE(""https://docs.google.com/spreadsheets/d/1SX6NBoVAgQJ6U1MVXOaj8PK2l7WJ3RER9xtqwdhxkhw/edit?usp=sharing"",""ปทุมธานี!I386"")"),0)</f>
        <v>0</v>
      </c>
      <c r="J491" s="189">
        <f ca="1">IFERROR(__xludf.DUMMYFUNCTION("IMPORTRANGE(""https://docs.google.com/spreadsheets/d/1SX6NBoVAgQJ6U1MVXOaj8PK2l7WJ3RER9xtqwdhxkhw/edit?usp=sharing"",""ปทุมธานี!J386"")"),0)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IFERROR(__xludf.DUMMYFUNCTION("IMPORTRANGE(""https://docs.google.com/spreadsheets/d/1SX6NBoVAgQJ6U1MVXOaj8PK2l7WJ3RER9xtqwdhxkhw/edit?usp=sharing"",""ปทุมธานี!I387"")"),0)</f>
        <v>0</v>
      </c>
      <c r="J492" s="189">
        <f ca="1">IFERROR(__xludf.DUMMYFUNCTION("IMPORTRANGE(""https://docs.google.com/spreadsheets/d/1SX6NBoVAgQJ6U1MVXOaj8PK2l7WJ3RER9xtqwdhxkhw/edit?usp=sharing"",""ปทุมธานี!J387"")"),0)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IFERROR(__xludf.DUMMYFUNCTION("IMPORTRANGE(""https://docs.google.com/spreadsheets/d/1SX6NBoVAgQJ6U1MVXOaj8PK2l7WJ3RER9xtqwdhxkhw/edit?usp=sharing"",""ปทุมธานี!I388"")"),0)</f>
        <v>0</v>
      </c>
      <c r="J493" s="189">
        <f ca="1">IFERROR(__xludf.DUMMYFUNCTION("IMPORTRANGE(""https://docs.google.com/spreadsheets/d/1SX6NBoVAgQJ6U1MVXOaj8PK2l7WJ3RER9xtqwdhxkhw/edit?usp=sharing"",""ปทุมธานี!J388"")"),0)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IFERROR(__xludf.DUMMYFUNCTION("IMPORTRANGE(""https://docs.google.com/spreadsheets/d/1SX6NBoVAgQJ6U1MVXOaj8PK2l7WJ3RER9xtqwdhxkhw/edit?usp=sharing"",""ปทุมธานี!I395"")"),0)</f>
        <v>0</v>
      </c>
      <c r="J500" s="162">
        <f ca="1">IFERROR(__xludf.DUMMYFUNCTION("IMPORTRANGE(""https://docs.google.com/spreadsheets/d/1SX6NBoVAgQJ6U1MVXOaj8PK2l7WJ3RER9xtqwdhxkhw/edit?usp=sharing"",""ปทุมธานี!J395"")"),0)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IFERROR(__xludf.DUMMYFUNCTION("IMPORTRANGE(""https://docs.google.com/spreadsheets/d/1SX6NBoVAgQJ6U1MVXOaj8PK2l7WJ3RER9xtqwdhxkhw/edit?usp=sharing"",""ปทุมธานี!I396"")"),0)</f>
        <v>0</v>
      </c>
      <c r="J501" s="162">
        <f ca="1">IFERROR(__xludf.DUMMYFUNCTION("IMPORTRANGE(""https://docs.google.com/spreadsheets/d/1SX6NBoVAgQJ6U1MVXOaj8PK2l7WJ3RER9xtqwdhxkhw/edit?usp=sharing"",""ปทุมธานี!J396"")"),0)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IFERROR(__xludf.DUMMYFUNCTION("IMPORTRANGE(""https://docs.google.com/spreadsheets/d/1SX6NBoVAgQJ6U1MVXOaj8PK2l7WJ3RER9xtqwdhxkhw/edit?usp=sharing"",""ปทุมธานี!I397"")"),0)</f>
        <v>0</v>
      </c>
      <c r="J502" s="189">
        <f ca="1">IFERROR(__xludf.DUMMYFUNCTION("IMPORTRANGE(""https://docs.google.com/spreadsheets/d/1SX6NBoVAgQJ6U1MVXOaj8PK2l7WJ3RER9xtqwdhxkhw/edit?usp=sharing"",""ปทุมธานี!J397"")"),0)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IFERROR(__xludf.DUMMYFUNCTION("IMPORTRANGE(""https://docs.google.com/spreadsheets/d/1SX6NBoVAgQJ6U1MVXOaj8PK2l7WJ3RER9xtqwdhxkhw/edit?usp=sharing"",""ปทุมธานี!I398"")"),0)</f>
        <v>0</v>
      </c>
      <c r="J503" s="198">
        <f ca="1">IFERROR(__xludf.DUMMYFUNCTION("IMPORTRANGE(""https://docs.google.com/spreadsheets/d/1SX6NBoVAgQJ6U1MVXOaj8PK2l7WJ3RER9xtqwdhxkhw/edit?usp=sharing"",""ปทุมธานี!J398"")"),0)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IFERROR(__xludf.DUMMYFUNCTION("IMPORTRANGE(""https://docs.google.com/spreadsheets/d/1SX6NBoVAgQJ6U1MVXOaj8PK2l7WJ3RER9xtqwdhxkhw/edit?usp=sharing"",""ปทุมธานี!I399"")"),0)</f>
        <v>0</v>
      </c>
      <c r="J504" s="189">
        <f ca="1">IFERROR(__xludf.DUMMYFUNCTION("IMPORTRANGE(""https://docs.google.com/spreadsheets/d/1SX6NBoVAgQJ6U1MVXOaj8PK2l7WJ3RER9xtqwdhxkhw/edit?usp=sharing"",""ปทุมธานี!J399"")"),0)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IFERROR(__xludf.DUMMYFUNCTION("IMPORTRANGE(""https://docs.google.com/spreadsheets/d/1SX6NBoVAgQJ6U1MVXOaj8PK2l7WJ3RER9xtqwdhxkhw/edit?usp=sharing"",""ปทุมธานี!I400"")"),0)</f>
        <v>0</v>
      </c>
      <c r="J505" s="198">
        <f ca="1">IFERROR(__xludf.DUMMYFUNCTION("IMPORTRANGE(""https://docs.google.com/spreadsheets/d/1SX6NBoVAgQJ6U1MVXOaj8PK2l7WJ3RER9xtqwdhxkhw/edit?usp=sharing"",""ปทุมธานี!J400"")"),0)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IFERROR(__xludf.DUMMYFUNCTION("IMPORTRANGE(""https://docs.google.com/spreadsheets/d/1SX6NBoVAgQJ6U1MVXOaj8PK2l7WJ3RER9xtqwdhxkhw/edit?usp=sharing"",""ปทุมธานี!I401"")"),0)</f>
        <v>0</v>
      </c>
      <c r="J506" s="189">
        <f ca="1">IFERROR(__xludf.DUMMYFUNCTION("IMPORTRANGE(""https://docs.google.com/spreadsheets/d/1SX6NBoVAgQJ6U1MVXOaj8PK2l7WJ3RER9xtqwdhxkhw/edit?usp=sharing"",""ปทุมธานี!J401"")"),0)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IFERROR(__xludf.DUMMYFUNCTION("IMPORTRANGE(""https://docs.google.com/spreadsheets/d/1SX6NBoVAgQJ6U1MVXOaj8PK2l7WJ3RER9xtqwdhxkhw/edit?usp=sharing"",""ปทุมธานี!I402"")"),0)</f>
        <v>0</v>
      </c>
      <c r="J507" s="198">
        <f ca="1">IFERROR(__xludf.DUMMYFUNCTION("IMPORTRANGE(""https://docs.google.com/spreadsheets/d/1SX6NBoVAgQJ6U1MVXOaj8PK2l7WJ3RER9xtqwdhxkhw/edit?usp=sharing"",""ปทุมธานี!J402"")"),0)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IFERROR(__xludf.DUMMYFUNCTION("IMPORTRANGE(""https://docs.google.com/spreadsheets/d/1SX6NBoVAgQJ6U1MVXOaj8PK2l7WJ3RER9xtqwdhxkhw/edit?usp=sharing"",""ปทุมธานี!I403"")"),0)</f>
        <v>0</v>
      </c>
      <c r="J508" s="162">
        <f ca="1">IFERROR(__xludf.DUMMYFUNCTION("IMPORTRANGE(""https://docs.google.com/spreadsheets/d/1SX6NBoVAgQJ6U1MVXOaj8PK2l7WJ3RER9xtqwdhxkhw/edit?usp=sharing"",""ปทุมธานี!J403"")"),0)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IFERROR(__xludf.DUMMYFUNCTION("IMPORTRANGE(""https://docs.google.com/spreadsheets/d/1SX6NBoVAgQJ6U1MVXOaj8PK2l7WJ3RER9xtqwdhxkhw/edit?usp=sharing"",""ปทุมธานี!I404"")"),0)</f>
        <v>0</v>
      </c>
      <c r="J509" s="162">
        <f ca="1">IFERROR(__xludf.DUMMYFUNCTION("IMPORTRANGE(""https://docs.google.com/spreadsheets/d/1SX6NBoVAgQJ6U1MVXOaj8PK2l7WJ3RER9xtqwdhxkhw/edit?usp=sharing"",""ปทุมธานี!J404"")"),0)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IFERROR(__xludf.DUMMYFUNCTION("IMPORTRANGE(""https://docs.google.com/spreadsheets/d/1SX6NBoVAgQJ6U1MVXOaj8PK2l7WJ3RER9xtqwdhxkhw/edit?usp=sharing"",""ปทุมธานี!I405"")"),0)</f>
        <v>0</v>
      </c>
      <c r="J510" s="198">
        <f ca="1">IFERROR(__xludf.DUMMYFUNCTION("IMPORTRANGE(""https://docs.google.com/spreadsheets/d/1SX6NBoVAgQJ6U1MVXOaj8PK2l7WJ3RER9xtqwdhxkhw/edit?usp=sharing"",""ปทุมธานี!J405"")"),0)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IFERROR(__xludf.DUMMYFUNCTION("IMPORTRANGE(""https://docs.google.com/spreadsheets/d/1SX6NBoVAgQJ6U1MVXOaj8PK2l7WJ3RER9xtqwdhxkhw/edit?usp=sharing"",""ปทุมธานี!I406"")"),0)</f>
        <v>0</v>
      </c>
      <c r="J511" s="198">
        <f ca="1">IFERROR(__xludf.DUMMYFUNCTION("IMPORTRANGE(""https://docs.google.com/spreadsheets/d/1SX6NBoVAgQJ6U1MVXOaj8PK2l7WJ3RER9xtqwdhxkhw/edit?usp=sharing"",""ปทุมธานี!J406"")"),0)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IFERROR(__xludf.DUMMYFUNCTION("IMPORTRANGE(""https://docs.google.com/spreadsheets/d/1SX6NBoVAgQJ6U1MVXOaj8PK2l7WJ3RER9xtqwdhxkhw/edit?usp=sharing"",""ปทุมธานี!I407"")"),0)</f>
        <v>0</v>
      </c>
      <c r="J512" s="198">
        <f ca="1">IFERROR(__xludf.DUMMYFUNCTION("IMPORTRANGE(""https://docs.google.com/spreadsheets/d/1SX6NBoVAgQJ6U1MVXOaj8PK2l7WJ3RER9xtqwdhxkhw/edit?usp=sharing"",""ปทุมธานี!J407"")"),0)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IFERROR(__xludf.DUMMYFUNCTION("IMPORTRANGE(""https://docs.google.com/spreadsheets/d/1SX6NBoVAgQJ6U1MVXOaj8PK2l7WJ3RER9xtqwdhxkhw/edit?usp=sharing"",""ปทุมธานี!I408"")"),0)</f>
        <v>0</v>
      </c>
      <c r="J513" s="198">
        <f ca="1">IFERROR(__xludf.DUMMYFUNCTION("IMPORTRANGE(""https://docs.google.com/spreadsheets/d/1SX6NBoVAgQJ6U1MVXOaj8PK2l7WJ3RER9xtqwdhxkhw/edit?usp=sharing"",""ปทุมธานี!J408"")"),0)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IFERROR(__xludf.DUMMYFUNCTION("IMPORTRANGE(""https://docs.google.com/spreadsheets/d/1SX6NBoVAgQJ6U1MVXOaj8PK2l7WJ3RER9xtqwdhxkhw/edit?usp=sharing"",""ปทุมธานี!I409"")"),0)</f>
        <v>0</v>
      </c>
      <c r="J514" s="198">
        <f ca="1">IFERROR(__xludf.DUMMYFUNCTION("IMPORTRANGE(""https://docs.google.com/spreadsheets/d/1SX6NBoVAgQJ6U1MVXOaj8PK2l7WJ3RER9xtqwdhxkhw/edit?usp=sharing"",""ปทุมธานี!J409"")"),0)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IFERROR(__xludf.DUMMYFUNCTION("IMPORTRANGE(""https://docs.google.com/spreadsheets/d/1SX6NBoVAgQJ6U1MVXOaj8PK2l7WJ3RER9xtqwdhxkhw/edit?usp=sharing"",""ปทุมธานี!I410"")"),0)</f>
        <v>0</v>
      </c>
      <c r="J515" s="198">
        <f ca="1">IFERROR(__xludf.DUMMYFUNCTION("IMPORTRANGE(""https://docs.google.com/spreadsheets/d/1SX6NBoVAgQJ6U1MVXOaj8PK2l7WJ3RER9xtqwdhxkhw/edit?usp=sharing"",""ปทุมธานี!J410"")"),0)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IFERROR(__xludf.DUMMYFUNCTION("IMPORTRANGE(""https://docs.google.com/spreadsheets/d/1SX6NBoVAgQJ6U1MVXOaj8PK2l7WJ3RER9xtqwdhxkhw/edit?usp=sharing"",""ปทุมธานี!I411"")"),0)</f>
        <v>0</v>
      </c>
      <c r="J516" s="268">
        <f ca="1">IFERROR(__xludf.DUMMYFUNCTION("IMPORTRANGE(""https://docs.google.com/spreadsheets/d/1SX6NBoVAgQJ6U1MVXOaj8PK2l7WJ3RER9xtqwdhxkhw/edit?usp=sharing"",""ปทุมธานี!J411"")"),0)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IFERROR(__xludf.DUMMYFUNCTION("IMPORTRANGE(""https://docs.google.com/spreadsheets/d/1SX6NBoVAgQJ6U1MVXOaj8PK2l7WJ3RER9xtqwdhxkhw/edit?usp=sharing"",""ปทุมธานี!I412"")"),0)</f>
        <v>0</v>
      </c>
      <c r="J517" s="285">
        <f ca="1">IFERROR(__xludf.DUMMYFUNCTION("IMPORTRANGE(""https://docs.google.com/spreadsheets/d/1SX6NBoVAgQJ6U1MVXOaj8PK2l7WJ3RER9xtqwdhxkhw/edit?usp=sharing"",""ปทุมธานี!J412"")"),0)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IFERROR(__xludf.DUMMYFUNCTION("IMPORTRANGE(""https://docs.google.com/spreadsheets/d/1SX6NBoVAgQJ6U1MVXOaj8PK2l7WJ3RER9xtqwdhxkhw/edit?usp=sharing"",""ปทุมธานี!I413"")"),0)</f>
        <v>0</v>
      </c>
      <c r="J518" s="285">
        <f ca="1">IFERROR(__xludf.DUMMYFUNCTION("IMPORTRANGE(""https://docs.google.com/spreadsheets/d/1SX6NBoVAgQJ6U1MVXOaj8PK2l7WJ3RER9xtqwdhxkhw/edit?usp=sharing"",""ปทุมธานี!J413"")"),0)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IFERROR(__xludf.DUMMYFUNCTION("IMPORTRANGE(""https://docs.google.com/spreadsheets/d/1SX6NBoVAgQJ6U1MVXOaj8PK2l7WJ3RER9xtqwdhxkhw/edit?usp=sharing"",""ปทุมธานี!I414"")"),0)</f>
        <v>0</v>
      </c>
      <c r="J519" s="188">
        <f ca="1">IFERROR(__xludf.DUMMYFUNCTION("IMPORTRANGE(""https://docs.google.com/spreadsheets/d/1SX6NBoVAgQJ6U1MVXOaj8PK2l7WJ3RER9xtqwdhxkhw/edit?usp=sharing"",""ปทุมธานี!J414"")"),0)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IFERROR(__xludf.DUMMYFUNCTION("IMPORTRANGE(""https://docs.google.com/spreadsheets/d/1SX6NBoVAgQJ6U1MVXOaj8PK2l7WJ3RER9xtqwdhxkhw/edit?usp=sharing"",""ปทุมธานี!I415"")"),0)</f>
        <v>0</v>
      </c>
      <c r="J520" s="188">
        <f ca="1">IFERROR(__xludf.DUMMYFUNCTION("IMPORTRANGE(""https://docs.google.com/spreadsheets/d/1SX6NBoVAgQJ6U1MVXOaj8PK2l7WJ3RER9xtqwdhxkhw/edit?usp=sharing"",""ปทุมธานี!J415"")"),0)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IFERROR(__xludf.DUMMYFUNCTION("IMPORTRANGE(""https://docs.google.com/spreadsheets/d/1SX6NBoVAgQJ6U1MVXOaj8PK2l7WJ3RER9xtqwdhxkhw/edit?usp=sharing"",""ปทุมธานี!I416"")"),0)</f>
        <v>0</v>
      </c>
      <c r="J521" s="188">
        <f ca="1">IFERROR(__xludf.DUMMYFUNCTION("IMPORTRANGE(""https://docs.google.com/spreadsheets/d/1SX6NBoVAgQJ6U1MVXOaj8PK2l7WJ3RER9xtqwdhxkhw/edit?usp=sharing"",""ปทุมธานี!J416"")"),0)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IFERROR(__xludf.DUMMYFUNCTION("IMPORTRANGE(""https://docs.google.com/spreadsheets/d/1SX6NBoVAgQJ6U1MVXOaj8PK2l7WJ3RER9xtqwdhxkhw/edit?usp=sharing"",""ปทุมธานี!I417"")"),0)</f>
        <v>0</v>
      </c>
      <c r="J522" s="188">
        <f ca="1">IFERROR(__xludf.DUMMYFUNCTION("IMPORTRANGE(""https://docs.google.com/spreadsheets/d/1SX6NBoVAgQJ6U1MVXOaj8PK2l7WJ3RER9xtqwdhxkhw/edit?usp=sharing"",""ปทุมธานี!J417"")"),0)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IFERROR(__xludf.DUMMYFUNCTION("IMPORTRANGE(""https://docs.google.com/spreadsheets/d/1SX6NBoVAgQJ6U1MVXOaj8PK2l7WJ3RER9xtqwdhxkhw/edit?usp=sharing"",""ปทุมธานี!I418"")"),0)</f>
        <v>0</v>
      </c>
      <c r="J523" s="188">
        <f ca="1">IFERROR(__xludf.DUMMYFUNCTION("IMPORTRANGE(""https://docs.google.com/spreadsheets/d/1SX6NBoVAgQJ6U1MVXOaj8PK2l7WJ3RER9xtqwdhxkhw/edit?usp=sharing"",""ปทุมธานี!J418"")"),0)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IFERROR(__xludf.DUMMYFUNCTION("IMPORTRANGE(""https://docs.google.com/spreadsheets/d/1SX6NBoVAgQJ6U1MVXOaj8PK2l7WJ3RER9xtqwdhxkhw/edit?usp=sharing"",""ปทุมธานี!I419"")"),0)</f>
        <v>0</v>
      </c>
      <c r="J524" s="188">
        <f ca="1">IFERROR(__xludf.DUMMYFUNCTION("IMPORTRANGE(""https://docs.google.com/spreadsheets/d/1SX6NBoVAgQJ6U1MVXOaj8PK2l7WJ3RER9xtqwdhxkhw/edit?usp=sharing"",""ปทุมธานี!J419"")"),0)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IFERROR(__xludf.DUMMYFUNCTION("IMPORTRANGE(""https://docs.google.com/spreadsheets/d/1SX6NBoVAgQJ6U1MVXOaj8PK2l7WJ3RER9xtqwdhxkhw/edit?usp=sharing"",""ปทุมธานี!I420"")"),0)</f>
        <v>0</v>
      </c>
      <c r="J525" s="285">
        <f ca="1">IFERROR(__xludf.DUMMYFUNCTION("IMPORTRANGE(""https://docs.google.com/spreadsheets/d/1SX6NBoVAgQJ6U1MVXOaj8PK2l7WJ3RER9xtqwdhxkhw/edit?usp=sharing"",""ปทุมธานี!J420"")"),0)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IFERROR(__xludf.DUMMYFUNCTION("IMPORTRANGE(""https://docs.google.com/spreadsheets/d/1SX6NBoVAgQJ6U1MVXOaj8PK2l7WJ3RER9xtqwdhxkhw/edit?usp=sharing"",""ปทุมธานี!I421"")"),0)</f>
        <v>0</v>
      </c>
      <c r="J526" s="285">
        <f ca="1">IFERROR(__xludf.DUMMYFUNCTION("IMPORTRANGE(""https://docs.google.com/spreadsheets/d/1SX6NBoVAgQJ6U1MVXOaj8PK2l7WJ3RER9xtqwdhxkhw/edit?usp=sharing"",""ปทุมธานี!J421"")"),0)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IFERROR(__xludf.DUMMYFUNCTION("IMPORTRANGE(""https://docs.google.com/spreadsheets/d/1SX6NBoVAgQJ6U1MVXOaj8PK2l7WJ3RER9xtqwdhxkhw/edit?usp=sharing"",""ปทุมธานี!I422"")"),0)</f>
        <v>0</v>
      </c>
      <c r="J527" s="198">
        <f ca="1">IFERROR(__xludf.DUMMYFUNCTION("IMPORTRANGE(""https://docs.google.com/spreadsheets/d/1SX6NBoVAgQJ6U1MVXOaj8PK2l7WJ3RER9xtqwdhxkhw/edit?usp=sharing"",""ปทุมธานี!J422"")"),0)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IFERROR(__xludf.DUMMYFUNCTION("IMPORTRANGE(""https://docs.google.com/spreadsheets/d/1SX6NBoVAgQJ6U1MVXOaj8PK2l7WJ3RER9xtqwdhxkhw/edit?usp=sharing"",""ปทุมธานี!I423"")"),0)</f>
        <v>0</v>
      </c>
      <c r="J528" s="198">
        <f ca="1">IFERROR(__xludf.DUMMYFUNCTION("IMPORTRANGE(""https://docs.google.com/spreadsheets/d/1SX6NBoVAgQJ6U1MVXOaj8PK2l7WJ3RER9xtqwdhxkhw/edit?usp=sharing"",""ปทุมธานี!J423"")"),0)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IFERROR(__xludf.DUMMYFUNCTION("IMPORTRANGE(""https://docs.google.com/spreadsheets/d/1SX6NBoVAgQJ6U1MVXOaj8PK2l7WJ3RER9xtqwdhxkhw/edit?usp=sharing"",""ปทุมธานี!I424"")"),0)</f>
        <v>0</v>
      </c>
      <c r="J529" s="198">
        <f ca="1">IFERROR(__xludf.DUMMYFUNCTION("IMPORTRANGE(""https://docs.google.com/spreadsheets/d/1SX6NBoVAgQJ6U1MVXOaj8PK2l7WJ3RER9xtqwdhxkhw/edit?usp=sharing"",""ปทุมธานี!J424"")"),0)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IFERROR(__xludf.DUMMYFUNCTION("IMPORTRANGE(""https://docs.google.com/spreadsheets/d/1SX6NBoVAgQJ6U1MVXOaj8PK2l7WJ3RER9xtqwdhxkhw/edit?usp=sharing"",""ปทุมธานี!I425"")"),0)</f>
        <v>0</v>
      </c>
      <c r="J530" s="198">
        <f ca="1">IFERROR(__xludf.DUMMYFUNCTION("IMPORTRANGE(""https://docs.google.com/spreadsheets/d/1SX6NBoVAgQJ6U1MVXOaj8PK2l7WJ3RER9xtqwdhxkhw/edit?usp=sharing"",""ปทุมธานี!J425"")"),0)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IFERROR(__xludf.DUMMYFUNCTION("IMPORTRANGE(""https://docs.google.com/spreadsheets/d/1SX6NBoVAgQJ6U1MVXOaj8PK2l7WJ3RER9xtqwdhxkhw/edit?usp=sharing"",""ปทุมธานี!I426"")"),0)</f>
        <v>0</v>
      </c>
      <c r="J531" s="198">
        <f ca="1">IFERROR(__xludf.DUMMYFUNCTION("IMPORTRANGE(""https://docs.google.com/spreadsheets/d/1SX6NBoVAgQJ6U1MVXOaj8PK2l7WJ3RER9xtqwdhxkhw/edit?usp=sharing"",""ปทุมธานี!J426"")"),0)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IFERROR(__xludf.DUMMYFUNCTION("IMPORTRANGE(""https://docs.google.com/spreadsheets/d/1SX6NBoVAgQJ6U1MVXOaj8PK2l7WJ3RER9xtqwdhxkhw/edit?usp=sharing"",""ปทุมธานี!M428"")"),32607.02)</f>
        <v>32607.02</v>
      </c>
      <c r="O533" s="412">
        <f t="shared" ref="O533:O537" ca="1" si="118">+IF(L533&gt;0,N533*100/L533,0)</f>
        <v>94.953465346534657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IFERROR(__xludf.DUMMYFUNCTION("IMPORTRANGE(""https://docs.google.com/spreadsheets/d/1SX6NBoVAgQJ6U1MVXOaj8PK2l7WJ3RER9xtqwdhxkhw/edit?usp=sharing"",""ปทุมธานี!L429"")"),0)</f>
        <v>0</v>
      </c>
      <c r="M534" s="164"/>
      <c r="N534" s="169">
        <f ca="1">IFERROR(__xludf.DUMMYFUNCTION("IMPORTRANGE(""https://docs.google.com/spreadsheets/d/1SX6NBoVAgQJ6U1MVXOaj8PK2l7WJ3RER9xtqwdhxkhw/edit?usp=sharing"",""ปทุมธานี!M429"")"),0)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IFERROR(__xludf.DUMMYFUNCTION("IMPORTRANGE(""https://docs.google.com/spreadsheets/d/1SX6NBoVAgQJ6U1MVXOaj8PK2l7WJ3RER9xtqwdhxkhw/edit?usp=sharing"",""ปทุมธานี!L430"")"),34340)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IFERROR(__xludf.DUMMYFUNCTION("IMPORTRANGE(""https://docs.google.com/spreadsheets/d/1SX6NBoVAgQJ6U1MVXOaj8PK2l7WJ3RER9xtqwdhxkhw/edit?usp=sharing"",""ปทุมธานี!M430"")"),32607.02)</f>
        <v>32607.02</v>
      </c>
      <c r="O535" s="169">
        <f t="shared" ca="1" si="118"/>
        <v>94.953465346534657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IFERROR(__xludf.DUMMYFUNCTION("IMPORTRANGE(""https://docs.google.com/spreadsheets/d/1SX6NBoVAgQJ6U1MVXOaj8PK2l7WJ3RER9xtqwdhxkhw/edit?usp=sharing"",""ปทุมธานี!L431"")"),0)</f>
        <v>0</v>
      </c>
      <c r="M536" s="169"/>
      <c r="N536" s="169">
        <f ca="1">IFERROR(__xludf.DUMMYFUNCTION("IMPORTRANGE(""https://docs.google.com/spreadsheets/d/1SX6NBoVAgQJ6U1MVXOaj8PK2l7WJ3RER9xtqwdhxkhw/edit?usp=sharing"",""ปทุมธานี!M431"")"),0)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IFERROR(__xludf.DUMMYFUNCTION("IMPORTRANGE(""https://docs.google.com/spreadsheets/d/1SX6NBoVAgQJ6U1MVXOaj8PK2l7WJ3RER9xtqwdhxkhw/edit?usp=sharing"",""ปทุมธานี!L432"")"),34340)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IFERROR(__xludf.DUMMYFUNCTION("IMPORTRANGE(""https://docs.google.com/spreadsheets/d/1SX6NBoVAgQJ6U1MVXOaj8PK2l7WJ3RER9xtqwdhxkhw/edit?usp=sharing"",""ปทุมธานี!M432"")"),32607.02)</f>
        <v>32607.02</v>
      </c>
      <c r="O537" s="169">
        <f t="shared" ca="1" si="118"/>
        <v>94.953465346534657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IFERROR(__xludf.DUMMYFUNCTION("IMPORTRANGE(""https://docs.google.com/spreadsheets/d/1SX6NBoVAgQJ6U1MVXOaj8PK2l7WJ3RER9xtqwdhxkhw/edit?usp=sharing"",""ปทุมธานี!M433"")"),21527.02)</f>
        <v>21527.02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IFERROR(__xludf.DUMMYFUNCTION("IMPORTRANGE(""https://docs.google.com/spreadsheets/d/1SX6NBoVAgQJ6U1MVXOaj8PK2l7WJ3RER9xtqwdhxkhw/edit?usp=sharing"",""ปทุมธานี!M436"")"),11080)</f>
        <v>11080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IFERROR(__xludf.DUMMYFUNCTION("IMPORTRANGE(""https://docs.google.com/spreadsheets/d/1SX6NBoVAgQJ6U1MVXOaj8PK2l7WJ3RER9xtqwdhxkhw/edit?usp=sharing"",""ปทุมธานี!J438"")"),0)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IFERROR(__xludf.DUMMYFUNCTION("IMPORTRANGE(""https://docs.google.com/spreadsheets/d/1SX6NBoVAgQJ6U1MVXOaj8PK2l7WJ3RER9xtqwdhxkhw/edit?usp=sharing"",""ปทุมธานี!J439"")"),0)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IFERROR(__xludf.DUMMYFUNCTION("IMPORTRANGE(""https://docs.google.com/spreadsheets/d/1SX6NBoVAgQJ6U1MVXOaj8PK2l7WJ3RER9xtqwdhxkhw/edit?usp=sharing"",""ปทุมธานี!J440"")"),1)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IFERROR(__xludf.DUMMYFUNCTION("IMPORTRANGE(""https://docs.google.com/spreadsheets/d/1SX6NBoVAgQJ6U1MVXOaj8PK2l7WJ3RER9xtqwdhxkhw/edit?usp=sharing"",""ปทุมธานี!J441"")"),1)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IFERROR(__xludf.DUMMYFUNCTION("IMPORTRANGE(""https://docs.google.com/spreadsheets/d/1SX6NBoVAgQJ6U1MVXOaj8PK2l7WJ3RER9xtqwdhxkhw/edit?usp=sharing"",""ปทุมธานี!I442"")"),22)</f>
        <v>22</v>
      </c>
      <c r="J547" s="189">
        <f ca="1">IFERROR(__xludf.DUMMYFUNCTION("IMPORTRANGE(""https://docs.google.com/spreadsheets/d/1SX6NBoVAgQJ6U1MVXOaj8PK2l7WJ3RER9xtqwdhxkhw/edit?usp=sharing"",""ปทุมธานี!J442"")"),22)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IFERROR(__xludf.DUMMYFUNCTION("IMPORTRANGE(""https://docs.google.com/spreadsheets/d/1SX6NBoVAgQJ6U1MVXOaj8PK2l7WJ3RER9xtqwdhxkhw/edit?usp=sharing"",""ปทุมธานี!J166"")"),0)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IFERROR(__xludf.DUMMYFUNCTION("IMPORTRANGE(""https://docs.google.com/spreadsheets/d/1SX6NBoVAgQJ6U1MVXOaj8PK2l7WJ3RER9xtqwdhxkhw/edit?usp=sharing"",""ปทุมธานี!J444"")"),1)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IFERROR(__xludf.DUMMYFUNCTION("IMPORTRANGE(""https://docs.google.com/spreadsheets/d/1SX6NBoVAgQJ6U1MVXOaj8PK2l7WJ3RER9xtqwdhxkhw/edit?usp=sharing"",""ปทุมธานี!L447"")"),0)</f>
        <v>0</v>
      </c>
      <c r="M552" s="164"/>
      <c r="N552" s="169">
        <f ca="1">IFERROR(__xludf.DUMMYFUNCTION("IMPORTRANGE(""https://docs.google.com/spreadsheets/d/1SX6NBoVAgQJ6U1MVXOaj8PK2l7WJ3RER9xtqwdhxkhw/edit?usp=sharing"",""ปทุมธานี!M447"")"),0)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IFERROR(__xludf.DUMMYFUNCTION("IMPORTRANGE(""https://docs.google.com/spreadsheets/d/1SX6NBoVAgQJ6U1MVXOaj8PK2l7WJ3RER9xtqwdhxkhw/edit?usp=sharing"",""ปทุมธานี!L448"")"),0)</f>
        <v>0</v>
      </c>
      <c r="M553" s="165"/>
      <c r="N553" s="169">
        <f ca="1">IFERROR(__xludf.DUMMYFUNCTION("IMPORTRANGE(""https://docs.google.com/spreadsheets/d/1SX6NBoVAgQJ6U1MVXOaj8PK2l7WJ3RER9xtqwdhxkhw/edit?usp=sharing"",""ปทุมธานี!M448"")"),0)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IFERROR(__xludf.DUMMYFUNCTION("IMPORTRANGE(""https://docs.google.com/spreadsheets/d/1SX6NBoVAgQJ6U1MVXOaj8PK2l7WJ3RER9xtqwdhxkhw/edit?usp=sharing"",""ปทุมธานี!L449"")"),0)</f>
        <v>0</v>
      </c>
      <c r="M554" s="169"/>
      <c r="N554" s="169">
        <f ca="1">IFERROR(__xludf.DUMMYFUNCTION("IMPORTRANGE(""https://docs.google.com/spreadsheets/d/1SX6NBoVAgQJ6U1MVXOaj8PK2l7WJ3RER9xtqwdhxkhw/edit?usp=sharing"",""ปทุมธานี!M449"")"),0)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IFERROR(__xludf.DUMMYFUNCTION("IMPORTRANGE(""https://docs.google.com/spreadsheets/d/1SX6NBoVAgQJ6U1MVXOaj8PK2l7WJ3RER9xtqwdhxkhw/edit?usp=sharing"",""ปทุมธานี!L450"")"),0)</f>
        <v>0</v>
      </c>
      <c r="M555" s="169"/>
      <c r="N555" s="169">
        <f ca="1">IFERROR(__xludf.DUMMYFUNCTION("IMPORTRANGE(""https://docs.google.com/spreadsheets/d/1SX6NBoVAgQJ6U1MVXOaj8PK2l7WJ3RER9xtqwdhxkhw/edit?usp=sharing"",""ปทุมธานี!M450"")"),0)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IFERROR(__xludf.DUMMYFUNCTION("IMPORTRANGE(""https://docs.google.com/spreadsheets/d/1SX6NBoVAgQJ6U1MVXOaj8PK2l7WJ3RER9xtqwdhxkhw/edit?usp=sharing"",""ปทุมธานี!M451"")"),0)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IFERROR(__xludf.DUMMYFUNCTION("IMPORTRANGE(""https://docs.google.com/spreadsheets/d/1SX6NBoVAgQJ6U1MVXOaj8PK2l7WJ3RER9xtqwdhxkhw/edit?usp=sharing"",""ปทุมธานี!M452"")"),0)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IFERROR(__xludf.DUMMYFUNCTION("IMPORTRANGE(""https://docs.google.com/spreadsheets/d/1SX6NBoVAgQJ6U1MVXOaj8PK2l7WJ3RER9xtqwdhxkhw/edit?usp=sharing"",""ปทุมธานี!M453"")"),0)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IFERROR(__xludf.DUMMYFUNCTION("IMPORTRANGE(""https://docs.google.com/spreadsheets/d/1SX6NBoVAgQJ6U1MVXOaj8PK2l7WJ3RER9xtqwdhxkhw/edit?usp=sharing"",""ปทุมธานี!M454"")"),0)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IFERROR(__xludf.DUMMYFUNCTION("IMPORTRANGE(""https://docs.google.com/spreadsheets/d/1SX6NBoVAgQJ6U1MVXOaj8PK2l7WJ3RER9xtqwdhxkhw/edit?usp=sharing"",""ปทุมธานี!I455"")"),0)</f>
        <v>0</v>
      </c>
      <c r="J560" s="162">
        <f ca="1">IFERROR(__xludf.DUMMYFUNCTION("IMPORTRANGE(""https://docs.google.com/spreadsheets/d/1SX6NBoVAgQJ6U1MVXOaj8PK2l7WJ3RER9xtqwdhxkhw/edit?usp=sharing"",""ปทุมธานี!J455"")"),0)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IFERROR(__xludf.DUMMYFUNCTION("IMPORTRANGE(""https://docs.google.com/spreadsheets/d/1SX6NBoVAgQJ6U1MVXOaj8PK2l7WJ3RER9xtqwdhxkhw/edit?usp=sharing"",""ปทุมธานี!I456"")"),0)</f>
        <v>0</v>
      </c>
      <c r="J561" s="204">
        <f ca="1">IFERROR(__xludf.DUMMYFUNCTION("IMPORTRANGE(""https://docs.google.com/spreadsheets/d/1SX6NBoVAgQJ6U1MVXOaj8PK2l7WJ3RER9xtqwdhxkhw/edit?usp=sharing"",""ปทุมธานี!J456"")"),0)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IFERROR(__xludf.DUMMYFUNCTION("IMPORTRANGE(""https://docs.google.com/spreadsheets/d/1SX6NBoVAgQJ6U1MVXOaj8PK2l7WJ3RER9xtqwdhxkhw/edit?usp=sharing"",""ปทุมธานี!J459"")"),857)</f>
        <v>857</v>
      </c>
      <c r="K564" s="372">
        <f ca="1">IF(I564&gt;0,J564*100/I564,0)</f>
        <v>428.5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IFERROR(__xludf.DUMMYFUNCTION("IMPORTRANGE(""https://docs.google.com/spreadsheets/d/1SX6NBoVAgQJ6U1MVXOaj8PK2l7WJ3RER9xtqwdhxkhw/edit?usp=sharing"",""ปทุมธานี!M459"")"),75760)</f>
        <v>75760</v>
      </c>
      <c r="O564" s="373">
        <f t="shared" ref="O564:O568" ca="1" si="122">+IF(L564&gt;0,N564*100/L564,0)</f>
        <v>60.088832487309645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IFERROR(__xludf.DUMMYFUNCTION("IMPORTRANGE(""https://docs.google.com/spreadsheets/d/1SX6NBoVAgQJ6U1MVXOaj8PK2l7WJ3RER9xtqwdhxkhw/edit?usp=sharing"",""ปทุมธานี!L460"")"),0)</f>
        <v>0</v>
      </c>
      <c r="M565" s="164"/>
      <c r="N565" s="169">
        <f ca="1">IFERROR(__xludf.DUMMYFUNCTION("IMPORTRANGE(""https://docs.google.com/spreadsheets/d/1SX6NBoVAgQJ6U1MVXOaj8PK2l7WJ3RER9xtqwdhxkhw/edit?usp=sharing"",""ปทุมธานี!M460"")"),0)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IFERROR(__xludf.DUMMYFUNCTION("IMPORTRANGE(""https://docs.google.com/spreadsheets/d/1SX6NBoVAgQJ6U1MVXOaj8PK2l7WJ3RER9xtqwdhxkhw/edit?usp=sharing"",""ปทุมธานี!L461"")"),126080)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IFERROR(__xludf.DUMMYFUNCTION("IMPORTRANGE(""https://docs.google.com/spreadsheets/d/1SX6NBoVAgQJ6U1MVXOaj8PK2l7WJ3RER9xtqwdhxkhw/edit?usp=sharing"",""ปทุมธานี!M461"")"),75760)</f>
        <v>75760</v>
      </c>
      <c r="O566" s="169">
        <f t="shared" ca="1" si="122"/>
        <v>60.088832487309645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IFERROR(__xludf.DUMMYFUNCTION("IMPORTRANGE(""https://docs.google.com/spreadsheets/d/1SX6NBoVAgQJ6U1MVXOaj8PK2l7WJ3RER9xtqwdhxkhw/edit?usp=sharing"",""ปทุมธานี!L462"")"),0)</f>
        <v>0</v>
      </c>
      <c r="M567" s="169"/>
      <c r="N567" s="169">
        <f ca="1">IFERROR(__xludf.DUMMYFUNCTION("IMPORTRANGE(""https://docs.google.com/spreadsheets/d/1SX6NBoVAgQJ6U1MVXOaj8PK2l7WJ3RER9xtqwdhxkhw/edit?usp=sharing"",""ปทุมธานี!M462"")"),0)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IFERROR(__xludf.DUMMYFUNCTION("IMPORTRANGE(""https://docs.google.com/spreadsheets/d/1SX6NBoVAgQJ6U1MVXOaj8PK2l7WJ3RER9xtqwdhxkhw/edit?usp=sharing"",""ปทุมธานี!L463"")"),126080)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IFERROR(__xludf.DUMMYFUNCTION("IMPORTRANGE(""https://docs.google.com/spreadsheets/d/1SX6NBoVAgQJ6U1MVXOaj8PK2l7WJ3RER9xtqwdhxkhw/edit?usp=sharing"",""ปทุมธานี!M463"")"),75760)</f>
        <v>75760</v>
      </c>
      <c r="O568" s="169">
        <f t="shared" ca="1" si="122"/>
        <v>60.088832487309645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IFERROR(__xludf.DUMMYFUNCTION("IMPORTRANGE(""https://docs.google.com/spreadsheets/d/1SX6NBoVAgQJ6U1MVXOaj8PK2l7WJ3RER9xtqwdhxkhw/edit?usp=sharing"",""ปทุมธานี!M464"")"),0)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IFERROR(__xludf.DUMMYFUNCTION("IMPORTRANGE(""https://docs.google.com/spreadsheets/d/1SX6NBoVAgQJ6U1MVXOaj8PK2l7WJ3RER9xtqwdhxkhw/edit?usp=sharing"",""ปทุมธานี!M465"")"),0)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IFERROR(__xludf.DUMMYFUNCTION("IMPORTRANGE(""https://docs.google.com/spreadsheets/d/1SX6NBoVAgQJ6U1MVXOaj8PK2l7WJ3RER9xtqwdhxkhw/edit?usp=sharing"",""ปทุมธานี!M466"")"),64900)</f>
        <v>64900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IFERROR(__xludf.DUMMYFUNCTION("IMPORTRANGE(""https://docs.google.com/spreadsheets/d/1SX6NBoVAgQJ6U1MVXOaj8PK2l7WJ3RER9xtqwdhxkhw/edit?usp=sharing"",""ปทุมธานี!M467"")"),10860)</f>
        <v>10860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IFERROR(__xludf.DUMMYFUNCTION("IMPORTRANGE(""https://docs.google.com/spreadsheets/d/1SX6NBoVAgQJ6U1MVXOaj8PK2l7WJ3RER9xtqwdhxkhw/edit?usp=sharing"",""ปทุมธานี!J468"")"),857)</f>
        <v>857</v>
      </c>
      <c r="K573" s="202">
        <f ca="1">IF(I573&gt;0,J573*100/I573,0)</f>
        <v>428.5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IFERROR(__xludf.DUMMYFUNCTION("IMPORTRANGE(""https://docs.google.com/spreadsheets/d/1SX6NBoVAgQJ6U1MVXOaj8PK2l7WJ3RER9xtqwdhxkhw/edit?usp=sharing"",""ปทุมธานี!I470"")"),0)</f>
        <v>0</v>
      </c>
      <c r="J575" s="198">
        <f ca="1">IFERROR(__xludf.DUMMYFUNCTION("IMPORTRANGE(""https://docs.google.com/spreadsheets/d/1SX6NBoVAgQJ6U1MVXOaj8PK2l7WJ3RER9xtqwdhxkhw/edit?usp=sharing"",""ปทุมธานี!J470"")"),10)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IFERROR(__xludf.DUMMYFUNCTION("IMPORTRANGE(""https://docs.google.com/spreadsheets/d/1SX6NBoVAgQJ6U1MVXOaj8PK2l7WJ3RER9xtqwdhxkhw/edit?usp=sharing"",""ปทุมธานี!I471"")"),0)</f>
        <v>0</v>
      </c>
      <c r="J576" s="198">
        <f ca="1">IFERROR(__xludf.DUMMYFUNCTION("IMPORTRANGE(""https://docs.google.com/spreadsheets/d/1SX6NBoVAgQJ6U1MVXOaj8PK2l7WJ3RER9xtqwdhxkhw/edit?usp=sharing"",""ปทุมธานี!J471"")"),312)</f>
        <v>312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IFERROR(__xludf.DUMMYFUNCTION("IMPORTRANGE(""https://docs.google.com/spreadsheets/d/1SX6NBoVAgQJ6U1MVXOaj8PK2l7WJ3RER9xtqwdhxkhw/edit?usp=sharing"",""ปทุมธานี!I472"")"),0)</f>
        <v>0</v>
      </c>
      <c r="J577" s="189">
        <f ca="1">IFERROR(__xludf.DUMMYFUNCTION("IMPORTRANGE(""https://docs.google.com/spreadsheets/d/1SX6NBoVAgQJ6U1MVXOaj8PK2l7WJ3RER9xtqwdhxkhw/edit?usp=sharing"",""ปทุมธานี!J472"")"),545)</f>
        <v>545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IFERROR(__xludf.DUMMYFUNCTION("IMPORTRANGE(""https://docs.google.com/spreadsheets/d/1SX6NBoVAgQJ6U1MVXOaj8PK2l7WJ3RER9xtqwdhxkhw/edit?usp=sharing"",""ปทุมธานี!I473"")"),0)</f>
        <v>0</v>
      </c>
      <c r="J578" s="198">
        <f ca="1">IFERROR(__xludf.DUMMYFUNCTION("IMPORTRANGE(""https://docs.google.com/spreadsheets/d/1SX6NBoVAgQJ6U1MVXOaj8PK2l7WJ3RER9xtqwdhxkhw/edit?usp=sharing"",""ปทุมธานี!J473"")"),0)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IFERROR(__xludf.DUMMYFUNCTION("IMPORTRANGE(""https://docs.google.com/spreadsheets/d/1SX6NBoVAgQJ6U1MVXOaj8PK2l7WJ3RER9xtqwdhxkhw/edit?usp=sharing"",""ปทุมธานี!I474"")"),0)</f>
        <v>0</v>
      </c>
      <c r="J579" s="198">
        <f ca="1">IFERROR(__xludf.DUMMYFUNCTION("IMPORTRANGE(""https://docs.google.com/spreadsheets/d/1SX6NBoVAgQJ6U1MVXOaj8PK2l7WJ3RER9xtqwdhxkhw/edit?usp=sharing"",""ปทุมธานี!J474"")"),0)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IFERROR(__xludf.DUMMYFUNCTION("IMPORTRANGE(""https://docs.google.com/spreadsheets/d/1SX6NBoVAgQJ6U1MVXOaj8PK2l7WJ3RER9xtqwdhxkhw/edit?usp=sharing"",""ปทุมธานี!L476"")"),0)</f>
        <v>0</v>
      </c>
      <c r="M581" s="164"/>
      <c r="N581" s="169">
        <f ca="1">IFERROR(__xludf.DUMMYFUNCTION("IMPORTRANGE(""https://docs.google.com/spreadsheets/d/1SX6NBoVAgQJ6U1MVXOaj8PK2l7WJ3RER9xtqwdhxkhw/edit?usp=sharing"",""ปทุมธานี!M476"")"),0)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IFERROR(__xludf.DUMMYFUNCTION("IMPORTRANGE(""https://docs.google.com/spreadsheets/d/1SX6NBoVAgQJ6U1MVXOaj8PK2l7WJ3RER9xtqwdhxkhw/edit?usp=sharing"",""ปทุมธานี!L477"")"),0)</f>
        <v>0</v>
      </c>
      <c r="M582" s="165"/>
      <c r="N582" s="169">
        <f ca="1">IFERROR(__xludf.DUMMYFUNCTION("IMPORTRANGE(""https://docs.google.com/spreadsheets/d/1SX6NBoVAgQJ6U1MVXOaj8PK2l7WJ3RER9xtqwdhxkhw/edit?usp=sharing"",""ปทุมธานี!M477"")"),0)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IFERROR(__xludf.DUMMYFUNCTION("IMPORTRANGE(""https://docs.google.com/spreadsheets/d/1SX6NBoVAgQJ6U1MVXOaj8PK2l7WJ3RER9xtqwdhxkhw/edit?usp=sharing"",""ปทุมธานี!L478"")"),0)</f>
        <v>0</v>
      </c>
      <c r="M583" s="169"/>
      <c r="N583" s="169">
        <f ca="1">IFERROR(__xludf.DUMMYFUNCTION("IMPORTRANGE(""https://docs.google.com/spreadsheets/d/1SX6NBoVAgQJ6U1MVXOaj8PK2l7WJ3RER9xtqwdhxkhw/edit?usp=sharing"",""ปทุมธานี!M478"")"),0)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IFERROR(__xludf.DUMMYFUNCTION("IMPORTRANGE(""https://docs.google.com/spreadsheets/d/1SX6NBoVAgQJ6U1MVXOaj8PK2l7WJ3RER9xtqwdhxkhw/edit?usp=sharing"",""ปทุมธานี!L479"")"),0)</f>
        <v>0</v>
      </c>
      <c r="M584" s="169"/>
      <c r="N584" s="169">
        <f ca="1">IFERROR(__xludf.DUMMYFUNCTION("IMPORTRANGE(""https://docs.google.com/spreadsheets/d/1SX6NBoVAgQJ6U1MVXOaj8PK2l7WJ3RER9xtqwdhxkhw/edit?usp=sharing"",""ปทุมธานี!M479"")"),0)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IFERROR(__xludf.DUMMYFUNCTION("IMPORTRANGE(""https://docs.google.com/spreadsheets/d/1SX6NBoVAgQJ6U1MVXOaj8PK2l7WJ3RER9xtqwdhxkhw/edit?usp=sharing"",""ปทุมธานี!M480"")"),0)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IFERROR(__xludf.DUMMYFUNCTION("IMPORTRANGE(""https://docs.google.com/spreadsheets/d/1SX6NBoVAgQJ6U1MVXOaj8PK2l7WJ3RER9xtqwdhxkhw/edit?usp=sharing"",""ปทุมธานี!M481"")"),0)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IFERROR(__xludf.DUMMYFUNCTION("IMPORTRANGE(""https://docs.google.com/spreadsheets/d/1SX6NBoVAgQJ6U1MVXOaj8PK2l7WJ3RER9xtqwdhxkhw/edit?usp=sharing"",""ปทุมธานี!M482"")"),0)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IFERROR(__xludf.DUMMYFUNCTION("IMPORTRANGE(""https://docs.google.com/spreadsheets/d/1SX6NBoVAgQJ6U1MVXOaj8PK2l7WJ3RER9xtqwdhxkhw/edit?usp=sharing"",""ปทุมธานี!M483"")"),0)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IFERROR(__xludf.DUMMYFUNCTION("IMPORTRANGE(""https://docs.google.com/spreadsheets/d/1SX6NBoVAgQJ6U1MVXOaj8PK2l7WJ3RER9xtqwdhxkhw/edit?usp=sharing"",""ปทุมธานี!I484"")"),0)</f>
        <v>0</v>
      </c>
      <c r="J589" s="188">
        <f ca="1">IFERROR(__xludf.DUMMYFUNCTION("IMPORTRANGE(""https://docs.google.com/spreadsheets/d/1SX6NBoVAgQJ6U1MVXOaj8PK2l7WJ3RER9xtqwdhxkhw/edit?usp=sharing"",""ปทุมธานี!J484"")"),0)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8">
        <f ca="1">IFERROR(__xludf.DUMMYFUNCTION("IMPORTRANGE(""https://docs.google.com/spreadsheets/d/1SX6NBoVAgQJ6U1MVXOaj8PK2l7WJ3RER9xtqwdhxkhw/edit?usp=sharing"",""ปทุมธานี!J485"")"),0)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IFERROR(__xludf.DUMMYFUNCTION("IMPORTRANGE(""https://docs.google.com/spreadsheets/d/1SX6NBoVAgQJ6U1MVXOaj8PK2l7WJ3RER9xtqwdhxkhw/edit?usp=sharing"",""ปทุมธานี!I486"")"),0)</f>
        <v>0</v>
      </c>
      <c r="J591" s="188">
        <f ca="1">IFERROR(__xludf.DUMMYFUNCTION("IMPORTRANGE(""https://docs.google.com/spreadsheets/d/1SX6NBoVAgQJ6U1MVXOaj8PK2l7WJ3RER9xtqwdhxkhw/edit?usp=sharing"",""ปทุมธานี!J486"")"),0)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8">
        <f ca="1">IFERROR(__xludf.DUMMYFUNCTION("IMPORTRANGE(""https://docs.google.com/spreadsheets/d/1SX6NBoVAgQJ6U1MVXOaj8PK2l7WJ3RER9xtqwdhxkhw/edit?usp=sharing"",""ปทุมธานี!J487"")"),0)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IFERROR(__xludf.DUMMYFUNCTION("IMPORTRANGE(""https://docs.google.com/spreadsheets/d/1SX6NBoVAgQJ6U1MVXOaj8PK2l7WJ3RER9xtqwdhxkhw/edit?usp=sharing"",""ปทุมธานี!I488"")"),0)</f>
        <v>0</v>
      </c>
      <c r="J593" s="188">
        <f ca="1">IFERROR(__xludf.DUMMYFUNCTION("IMPORTRANGE(""https://docs.google.com/spreadsheets/d/1SX6NBoVAgQJ6U1MVXOaj8PK2l7WJ3RER9xtqwdhxkhw/edit?usp=sharing"",""ปทุมธานี!J488"")"),0)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8">
        <f ca="1">IFERROR(__xludf.DUMMYFUNCTION("IMPORTRANGE(""https://docs.google.com/spreadsheets/d/1SX6NBoVAgQJ6U1MVXOaj8PK2l7WJ3RER9xtqwdhxkhw/edit?usp=sharing"",""ปทุมธานี!J489"")"),0)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IFERROR(__xludf.DUMMYFUNCTION("IMPORTRANGE(""https://docs.google.com/spreadsheets/d/1SX6NBoVAgQJ6U1MVXOaj8PK2l7WJ3RER9xtqwdhxkhw/edit?usp=sharing"",""ปทุมธานี!I490"")"),0)</f>
        <v>0</v>
      </c>
      <c r="J595" s="188">
        <f ca="1">IFERROR(__xludf.DUMMYFUNCTION("IMPORTRANGE(""https://docs.google.com/spreadsheets/d/1SX6NBoVAgQJ6U1MVXOaj8PK2l7WJ3RER9xtqwdhxkhw/edit?usp=sharing"",""ปทุมธานี!J490"")"),0)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IFERROR(__xludf.DUMMYFUNCTION("IMPORTRANGE(""https://docs.google.com/spreadsheets/d/1SX6NBoVAgQJ6U1MVXOaj8PK2l7WJ3RER9xtqwdhxkhw/edit?usp=sharing"",""ปทุมธานี!I491"")"),0)</f>
        <v>0</v>
      </c>
      <c r="J596" s="242">
        <f ca="1">IFERROR(__xludf.DUMMYFUNCTION("IMPORTRANGE(""https://docs.google.com/spreadsheets/d/1SX6NBoVAgQJ6U1MVXOaj8PK2l7WJ3RER9xtqwdhxkhw/edit?usp=sharing"",""ปทุมธานี!J491"")"),0)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7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IFERROR(__xludf.DUMMYFUNCTION("IMPORTRANGE(""https://docs.google.com/spreadsheets/d/1SX6NBoVAgQJ6U1MVXOaj8PK2l7WJ3RER9xtqwdhxkhw/edit?usp=sharing"",""ปทุมธานี!M492"")"),1460)</f>
        <v>1460</v>
      </c>
      <c r="O597" s="412">
        <f t="shared" ref="O597:O601" ca="1" si="126">+IF(L597&gt;0,N597*100/L597,0)</f>
        <v>20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IFERROR(__xludf.DUMMYFUNCTION("IMPORTRANGE(""https://docs.google.com/spreadsheets/d/1SX6NBoVAgQJ6U1MVXOaj8PK2l7WJ3RER9xtqwdhxkhw/edit?usp=sharing"",""ปทุมธานี!L493"")"),0)</f>
        <v>0</v>
      </c>
      <c r="M598" s="164"/>
      <c r="N598" s="169">
        <f ca="1">IFERROR(__xludf.DUMMYFUNCTION("IMPORTRANGE(""https://docs.google.com/spreadsheets/d/1SX6NBoVAgQJ6U1MVXOaj8PK2l7WJ3RER9xtqwdhxkhw/edit?usp=sharing"",""ปทุมธานี!M493"")"),0)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IFERROR(__xludf.DUMMYFUNCTION("IMPORTRANGE(""https://docs.google.com/spreadsheets/d/1SX6NBoVAgQJ6U1MVXOaj8PK2l7WJ3RER9xtqwdhxkhw/edit?usp=sharing"",""ปทุมธานี!L494"")"),7300)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IFERROR(__xludf.DUMMYFUNCTION("IMPORTRANGE(""https://docs.google.com/spreadsheets/d/1SX6NBoVAgQJ6U1MVXOaj8PK2l7WJ3RER9xtqwdhxkhw/edit?usp=sharing"",""ปทุมธานี!M494"")"),1460)</f>
        <v>1460</v>
      </c>
      <c r="O599" s="169">
        <f t="shared" ca="1" si="126"/>
        <v>20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IFERROR(__xludf.DUMMYFUNCTION("IMPORTRANGE(""https://docs.google.com/spreadsheets/d/1SX6NBoVAgQJ6U1MVXOaj8PK2l7WJ3RER9xtqwdhxkhw/edit?usp=sharing"",""ปทุมธานี!L495"")"),0)</f>
        <v>0</v>
      </c>
      <c r="M600" s="169"/>
      <c r="N600" s="169">
        <f ca="1">IFERROR(__xludf.DUMMYFUNCTION("IMPORTRANGE(""https://docs.google.com/spreadsheets/d/1SX6NBoVAgQJ6U1MVXOaj8PK2l7WJ3RER9xtqwdhxkhw/edit?usp=sharing"",""ปทุมธานี!M495"")"),0)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IFERROR(__xludf.DUMMYFUNCTION("IMPORTRANGE(""https://docs.google.com/spreadsheets/d/1SX6NBoVAgQJ6U1MVXOaj8PK2l7WJ3RER9xtqwdhxkhw/edit?usp=sharing"",""ปทุมธานี!L496"")"),7300)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IFERROR(__xludf.DUMMYFUNCTION("IMPORTRANGE(""https://docs.google.com/spreadsheets/d/1SX6NBoVAgQJ6U1MVXOaj8PK2l7WJ3RER9xtqwdhxkhw/edit?usp=sharing"",""ปทุมธานี!M496"")"),1460)</f>
        <v>1460</v>
      </c>
      <c r="O601" s="169">
        <f t="shared" ca="1" si="126"/>
        <v>20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IFERROR(__xludf.DUMMYFUNCTION("IMPORTRANGE(""https://docs.google.com/spreadsheets/d/1SX6NBoVAgQJ6U1MVXOaj8PK2l7WJ3RER9xtqwdhxkhw/edit?usp=sharing"",""ปทุมธานี!M497"")"),0)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IFERROR(__xludf.DUMMYFUNCTION("IMPORTRANGE(""https://docs.google.com/spreadsheets/d/1SX6NBoVAgQJ6U1MVXOaj8PK2l7WJ3RER9xtqwdhxkhw/edit?usp=sharing"",""ปทุมธานี!M498"")"),0)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IFERROR(__xludf.DUMMYFUNCTION("IMPORTRANGE(""https://docs.google.com/spreadsheets/d/1SX6NBoVAgQJ6U1MVXOaj8PK2l7WJ3RER9xtqwdhxkhw/edit?usp=sharing"",""ปทุมธานี!M500"")"),1460)</f>
        <v>1460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IFERROR(__xludf.DUMMYFUNCTION("IMPORTRANGE(""https://docs.google.com/spreadsheets/d/1SX6NBoVAgQJ6U1MVXOaj8PK2l7WJ3RER9xtqwdhxkhw/edit?usp=sharing"",""ปทุมธานี!J502"")"),0)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IFERROR(__xludf.DUMMYFUNCTION("IMPORTRANGE(""https://docs.google.com/spreadsheets/d/1SX6NBoVAgQJ6U1MVXOaj8PK2l7WJ3RER9xtqwdhxkhw/edit?usp=sharing"",""ปทุมธานี!J503"")"),1)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IFERROR(__xludf.DUMMYFUNCTION("IMPORTRANGE(""https://docs.google.com/spreadsheets/d/1SX6NBoVAgQJ6U1MVXOaj8PK2l7WJ3RER9xtqwdhxkhw/edit?usp=sharing"",""ปทุมธานี!J166"")"),0)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IFERROR(__xludf.DUMMYFUNCTION("IMPORTRANGE(""https://docs.google.com/spreadsheets/d/1SX6NBoVAgQJ6U1MVXOaj8PK2l7WJ3RER9xtqwdhxkhw/edit?usp=sharing"",""ปทุมธานี!J166"")"),0)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IFERROR(__xludf.DUMMYFUNCTION("IMPORTRANGE(""https://docs.google.com/spreadsheets/d/1SX6NBoVAgQJ6U1MVXOaj8PK2l7WJ3RER9xtqwdhxkhw/edit?usp=sharing"",""ปทุมธานี!I506"")"),100)</f>
        <v>100</v>
      </c>
      <c r="J611" s="162">
        <f ca="1">IFERROR(__xludf.DUMMYFUNCTION("IMPORTRANGE(""https://docs.google.com/spreadsheets/d/1SX6NBoVAgQJ6U1MVXOaj8PK2l7WJ3RER9xtqwdhxkhw/edit?usp=sharing"",""ปทุมธานี!J506"")"),0)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IFERROR(__xludf.DUMMYFUNCTION("IMPORTRANGE(""https://docs.google.com/spreadsheets/d/1SX6NBoVAgQJ6U1MVXOaj8PK2l7WJ3RER9xtqwdhxkhw/edit?usp=sharing"",""ปทุมธานี!I507"")"),0)</f>
        <v>0</v>
      </c>
      <c r="J612" s="198">
        <f ca="1">IFERROR(__xludf.DUMMYFUNCTION("IMPORTRANGE(""https://docs.google.com/spreadsheets/d/1SX6NBoVAgQJ6U1MVXOaj8PK2l7WJ3RER9xtqwdhxkhw/edit?usp=sharing"",""ปทุมธานี!J507"")"),84)</f>
        <v>84</v>
      </c>
      <c r="K612" s="163">
        <f t="shared" ca="1" si="127"/>
        <v>84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IFERROR(__xludf.DUMMYFUNCTION("IMPORTRANGE(""https://docs.google.com/spreadsheets/d/1SX6NBoVAgQJ6U1MVXOaj8PK2l7WJ3RER9xtqwdhxkhw/edit?usp=sharing"",""ปทุมธานี!I508"")"),0)</f>
        <v>0</v>
      </c>
      <c r="J613" s="198">
        <f ca="1">IFERROR(__xludf.DUMMYFUNCTION("IMPORTRANGE(""https://docs.google.com/spreadsheets/d/1SX6NBoVAgQJ6U1MVXOaj8PK2l7WJ3RER9xtqwdhxkhw/edit?usp=sharing"",""ปทุมธานี!J508"")"),84)</f>
        <v>84</v>
      </c>
      <c r="K613" s="163">
        <f t="shared" ca="1" si="127"/>
        <v>84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IFERROR(__xludf.DUMMYFUNCTION("IMPORTRANGE(""https://docs.google.com/spreadsheets/d/1SX6NBoVAgQJ6U1MVXOaj8PK2l7WJ3RER9xtqwdhxkhw/edit?usp=sharing"",""ปทุมธานี!I509"")"),0)</f>
        <v>0</v>
      </c>
      <c r="J614" s="198">
        <f ca="1">IFERROR(__xludf.DUMMYFUNCTION("IMPORTRANGE(""https://docs.google.com/spreadsheets/d/1SX6NBoVAgQJ6U1MVXOaj8PK2l7WJ3RER9xtqwdhxkhw/edit?usp=sharing"",""ปทุมธานี!J509"")"),84)</f>
        <v>84</v>
      </c>
      <c r="K614" s="163">
        <f t="shared" ca="1" si="127"/>
        <v>84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IFERROR(__xludf.DUMMYFUNCTION("IMPORTRANGE(""https://docs.google.com/spreadsheets/d/1SX6NBoVAgQJ6U1MVXOaj8PK2l7WJ3RER9xtqwdhxkhw/edit?usp=sharing"",""ปทุมธานี!I510"")"),0)</f>
        <v>0</v>
      </c>
      <c r="J615" s="198">
        <f ca="1">IFERROR(__xludf.DUMMYFUNCTION("IMPORTRANGE(""https://docs.google.com/spreadsheets/d/1SX6NBoVAgQJ6U1MVXOaj8PK2l7WJ3RER9xtqwdhxkhw/edit?usp=sharing"",""ปทุมธานี!J510"")"),84)</f>
        <v>84</v>
      </c>
      <c r="K615" s="163">
        <f t="shared" ca="1" si="127"/>
        <v>84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IFERROR(__xludf.DUMMYFUNCTION("IMPORTRANGE(""https://docs.google.com/spreadsheets/d/1SX6NBoVAgQJ6U1MVXOaj8PK2l7WJ3RER9xtqwdhxkhw/edit?usp=sharing"",""ปทุมธานี!I511"")"),0)</f>
        <v>0</v>
      </c>
      <c r="J616" s="198">
        <f ca="1">IFERROR(__xludf.DUMMYFUNCTION("IMPORTRANGE(""https://docs.google.com/spreadsheets/d/1SX6NBoVAgQJ6U1MVXOaj8PK2l7WJ3RER9xtqwdhxkhw/edit?usp=sharing"",""ปทุมธานี!J511"")"),0)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IFERROR(__xludf.DUMMYFUNCTION("IMPORTRANGE(""https://docs.google.com/spreadsheets/d/1SX6NBoVAgQJ6U1MVXOaj8PK2l7WJ3RER9xtqwdhxkhw/edit?usp=sharing"",""ปทุมธานี!I512"")"),0)</f>
        <v>0</v>
      </c>
      <c r="J617" s="188">
        <f ca="1">IFERROR(__xludf.DUMMYFUNCTION("IMPORTRANGE(""https://docs.google.com/spreadsheets/d/1SX6NBoVAgQJ6U1MVXOaj8PK2l7WJ3RER9xtqwdhxkhw/edit?usp=sharing"",""ปทุมธานี!J512"")"),0)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IFERROR(__xludf.DUMMYFUNCTION("IMPORTRANGE(""https://docs.google.com/spreadsheets/d/1SX6NBoVAgQJ6U1MVXOaj8PK2l7WJ3RER9xtqwdhxkhw/edit?usp=sharing"",""ปทุมธานี!I513"")"),0)</f>
        <v>0</v>
      </c>
      <c r="J618" s="189">
        <f ca="1">IFERROR(__xludf.DUMMYFUNCTION("IMPORTRANGE(""https://docs.google.com/spreadsheets/d/1SX6NBoVAgQJ6U1MVXOaj8PK2l7WJ3RER9xtqwdhxkhw/edit?usp=sharing"",""ปทุมธานี!J513"")"),0)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IFERROR(__xludf.DUMMYFUNCTION("IMPORTRANGE(""https://docs.google.com/spreadsheets/d/1SX6NBoVAgQJ6U1MVXOaj8PK2l7WJ3RER9xtqwdhxkhw/edit?usp=sharing"",""ปทุมธานี!I514"")"),0)</f>
        <v>0</v>
      </c>
      <c r="J619" s="189">
        <f ca="1">IFERROR(__xludf.DUMMYFUNCTION("IMPORTRANGE(""https://docs.google.com/spreadsheets/d/1SX6NBoVAgQJ6U1MVXOaj8PK2l7WJ3RER9xtqwdhxkhw/edit?usp=sharing"",""ปทุมธานี!J514"")"),0)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IFERROR(__xludf.DUMMYFUNCTION("IMPORTRANGE(""https://docs.google.com/spreadsheets/d/1SX6NBoVAgQJ6U1MVXOaj8PK2l7WJ3RER9xtqwdhxkhw/edit?usp=sharing"",""ปทุมธานี!I515"")"),0)</f>
        <v>0</v>
      </c>
      <c r="J620" s="203">
        <f ca="1">IFERROR(__xludf.DUMMYFUNCTION("IMPORTRANGE(""https://docs.google.com/spreadsheets/d/1SX6NBoVAgQJ6U1MVXOaj8PK2l7WJ3RER9xtqwdhxkhw/edit?usp=sharing"",""ปทุมธานี!J515"")"),0)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IFERROR(__xludf.DUMMYFUNCTION("IMPORTRANGE(""https://docs.google.com/spreadsheets/d/1SX6NBoVAgQJ6U1MVXOaj8PK2l7WJ3RER9xtqwdhxkhw/edit?usp=sharing"",""ปทุมธานี!I516"")"),0)</f>
        <v>0</v>
      </c>
      <c r="J621" s="203">
        <f ca="1">IFERROR(__xludf.DUMMYFUNCTION("IMPORTRANGE(""https://docs.google.com/spreadsheets/d/1SX6NBoVAgQJ6U1MVXOaj8PK2l7WJ3RER9xtqwdhxkhw/edit?usp=sharing"",""ปทุมธานี!J516"")"),0)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IFERROR(__xludf.DUMMYFUNCTION("IMPORTRANGE(""https://docs.google.com/spreadsheets/d/1SX6NBoVAgQJ6U1MVXOaj8PK2l7WJ3RER9xtqwdhxkhw/edit?usp=sharing"",""ปทุมธานี!I517"")"),0)</f>
        <v>0</v>
      </c>
      <c r="J622" s="189">
        <f ca="1">IFERROR(__xludf.DUMMYFUNCTION("IMPORTRANGE(""https://docs.google.com/spreadsheets/d/1SX6NBoVAgQJ6U1MVXOaj8PK2l7WJ3RER9xtqwdhxkhw/edit?usp=sharing"",""ปทุมธานี!J517"")"),0)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IFERROR(__xludf.DUMMYFUNCTION("IMPORTRANGE(""https://docs.google.com/spreadsheets/d/1SX6NBoVAgQJ6U1MVXOaj8PK2l7WJ3RER9xtqwdhxkhw/edit?usp=sharing"",""ปทุมธานี!I518"")"),0)</f>
        <v>0</v>
      </c>
      <c r="J623" s="189">
        <f ca="1">IFERROR(__xludf.DUMMYFUNCTION("IMPORTRANGE(""https://docs.google.com/spreadsheets/d/1SX6NBoVAgQJ6U1MVXOaj8PK2l7WJ3RER9xtqwdhxkhw/edit?usp=sharing"",""ปทุมธานี!J518"")"),0)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IFERROR(__xludf.DUMMYFUNCTION("IMPORTRANGE(""https://docs.google.com/spreadsheets/d/1SX6NBoVAgQJ6U1MVXOaj8PK2l7WJ3RER9xtqwdhxkhw/edit?usp=sharing"",""ปทุมธานี!I519"")"),0)</f>
        <v>0</v>
      </c>
      <c r="J624" s="188">
        <f ca="1">IFERROR(__xludf.DUMMYFUNCTION("IMPORTRANGE(""https://docs.google.com/spreadsheets/d/1SX6NBoVAgQJ6U1MVXOaj8PK2l7WJ3RER9xtqwdhxkhw/edit?usp=sharing"",""ปทุมธานี!J519"")"),0)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IFERROR(__xludf.DUMMYFUNCTION("IMPORTRANGE(""https://docs.google.com/spreadsheets/d/1SX6NBoVAgQJ6U1MVXOaj8PK2l7WJ3RER9xtqwdhxkhw/edit?usp=sharing"",""ปทุมธานี!I520"")"),0)</f>
        <v>0</v>
      </c>
      <c r="J625" s="189">
        <f ca="1">IFERROR(__xludf.DUMMYFUNCTION("IMPORTRANGE(""https://docs.google.com/spreadsheets/d/1SX6NBoVAgQJ6U1MVXOaj8PK2l7WJ3RER9xtqwdhxkhw/edit?usp=sharing"",""ปทุมธานี!J520"")"),0)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IFERROR(__xludf.DUMMYFUNCTION("IMPORTRANGE(""https://docs.google.com/spreadsheets/d/1SX6NBoVAgQJ6U1MVXOaj8PK2l7WJ3RER9xtqwdhxkhw/edit?usp=sharing"",""ปทุมธานี!I521"")"),0)</f>
        <v>0</v>
      </c>
      <c r="J626" s="189">
        <f ca="1">IFERROR(__xludf.DUMMYFUNCTION("IMPORTRANGE(""https://docs.google.com/spreadsheets/d/1SX6NBoVAgQJ6U1MVXOaj8PK2l7WJ3RER9xtqwdhxkhw/edit?usp=sharing"",""ปทุมธานี!J521"")"),0)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IFERROR(__xludf.DUMMYFUNCTION("IMPORTRANGE(""https://docs.google.com/spreadsheets/d/1SX6NBoVAgQJ6U1MVXOaj8PK2l7WJ3RER9xtqwdhxkhw/edit?usp=sharing"",""ปทุมธานี!I523"")"),980000)</f>
        <v>980000</v>
      </c>
      <c r="J628" s="342">
        <f ca="1">IFERROR(__xludf.DUMMYFUNCTION("IMPORTRANGE(""https://docs.google.com/spreadsheets/d/1SX6NBoVAgQJ6U1MVXOaj8PK2l7WJ3RER9xtqwdhxkhw/edit?usp=sharing"",""ปทุมธานี!J523"")"),720000)</f>
        <v>720000</v>
      </c>
      <c r="K628" s="343">
        <f t="shared" ref="K628:K635" ca="1" si="129">IF(I628&gt;0,J628*100/I628,0)</f>
        <v>73.469387755102048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IFERROR(__xludf.DUMMYFUNCTION("IMPORTRANGE(""https://docs.google.com/spreadsheets/d/1SX6NBoVAgQJ6U1MVXOaj8PK2l7WJ3RER9xtqwdhxkhw/edit?usp=sharing"",""ปทุมธานี!I524"")"),34)</f>
        <v>34</v>
      </c>
      <c r="J629" s="342">
        <f ca="1">IFERROR(__xludf.DUMMYFUNCTION("IMPORTRANGE(""https://docs.google.com/spreadsheets/d/1SX6NBoVAgQJ6U1MVXOaj8PK2l7WJ3RER9xtqwdhxkhw/edit?usp=sharing"",""ปทุมธานี!J524"")"),24)</f>
        <v>24</v>
      </c>
      <c r="K629" s="343">
        <f t="shared" ca="1" si="129"/>
        <v>70.588235294117652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2">
        <f ca="1">IFERROR(__xludf.DUMMYFUNCTION("IMPORTRANGE(""https://docs.google.com/spreadsheets/d/1SX6NBoVAgQJ6U1MVXOaj8PK2l7WJ3RER9xtqwdhxkhw/edit?usp=sharing"",""ปทุมธานี!J525"")"),24999.64)</f>
        <v>24999.64</v>
      </c>
      <c r="K630" s="343">
        <f t="shared" ca="1" si="129"/>
        <v>18.182509788331444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IFERROR(__xludf.DUMMYFUNCTION("IMPORTRANGE(""https://docs.google.com/spreadsheets/d/1SX6NBoVAgQJ6U1MVXOaj8PK2l7WJ3RER9xtqwdhxkhw/edit?usp=sharing"",""ปทุมธานี!I526"")"),4)</f>
        <v>4</v>
      </c>
      <c r="J631" s="342">
        <f ca="1">IFERROR(__xludf.DUMMYFUNCTION("IMPORTRANGE(""https://docs.google.com/spreadsheets/d/1SX6NBoVAgQJ6U1MVXOaj8PK2l7WJ3RER9xtqwdhxkhw/edit?usp=sharing"",""ปทุมธานี!J526"")"),2)</f>
        <v>2</v>
      </c>
      <c r="K631" s="343">
        <f t="shared" ca="1" si="129"/>
        <v>50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2">
        <f ca="1">IFERROR(__xludf.DUMMYFUNCTION("IMPORTRANGE(""https://docs.google.com/spreadsheets/d/1SX6NBoVAgQJ6U1MVXOaj8PK2l7WJ3RER9xtqwdhxkhw/edit?usp=sharing"",""ปทุมธานี!J527"")"),1772607.13)</f>
        <v>1772607.13</v>
      </c>
      <c r="K632" s="343">
        <f t="shared" ca="1" si="129"/>
        <v>44.106335523158712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IFERROR(__xludf.DUMMYFUNCTION("IMPORTRANGE(""https://docs.google.com/spreadsheets/d/1SX6NBoVAgQJ6U1MVXOaj8PK2l7WJ3RER9xtqwdhxkhw/edit?usp=sharing"",""ปทุมธานี!I528"")"),2074)</f>
        <v>2074</v>
      </c>
      <c r="J633" s="342">
        <f ca="1">IFERROR(__xludf.DUMMYFUNCTION("IMPORTRANGE(""https://docs.google.com/spreadsheets/d/1SX6NBoVAgQJ6U1MVXOaj8PK2l7WJ3RER9xtqwdhxkhw/edit?usp=sharing"",""ปทุมธานี!J528"")"),1452)</f>
        <v>1452</v>
      </c>
      <c r="K633" s="343">
        <f t="shared" ca="1" si="129"/>
        <v>70.009643201542914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IFERROR(__xludf.DUMMYFUNCTION("IMPORTRANGE(""https://docs.google.com/spreadsheets/d/1SX6NBoVAgQJ6U1MVXOaj8PK2l7WJ3RER9xtqwdhxkhw/edit?usp=sharing"",""ปทุมธานี!I529"")"),960000)</f>
        <v>960000</v>
      </c>
      <c r="J634" s="342">
        <f ca="1">IFERROR(__xludf.DUMMYFUNCTION("IMPORTRANGE(""https://docs.google.com/spreadsheets/d/1SX6NBoVAgQJ6U1MVXOaj8PK2l7WJ3RER9xtqwdhxkhw/edit?usp=sharing"",""ปทุมธานี!J529"")"),780000)</f>
        <v>780000</v>
      </c>
      <c r="K634" s="343">
        <f t="shared" ca="1" si="129"/>
        <v>81.25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IFERROR(__xludf.DUMMYFUNCTION("IMPORTRANGE(""https://docs.google.com/spreadsheets/d/1SX6NBoVAgQJ6U1MVXOaj8PK2l7WJ3RER9xtqwdhxkhw/edit?usp=sharing"",""ปทุมธานี!I530"")"),33)</f>
        <v>33</v>
      </c>
      <c r="J635" s="504">
        <f ca="1">IFERROR(__xludf.DUMMYFUNCTION("IMPORTRANGE(""https://docs.google.com/spreadsheets/d/1SX6NBoVAgQJ6U1MVXOaj8PK2l7WJ3RER9xtqwdhxkhw/edit?usp=sharing"",""ปทุมธานี!J530"")"),24)</f>
        <v>24</v>
      </c>
      <c r="K635" s="486">
        <f t="shared" ca="1" si="129"/>
        <v>72.727272727272734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49650</v>
      </c>
      <c r="M636" s="511"/>
      <c r="N636" s="510">
        <f ca="1">SUM(N637:N638)</f>
        <v>8200</v>
      </c>
      <c r="O636" s="510">
        <f t="shared" ref="O636:O640" ca="1" si="130">+IF(L636&gt;0,N636*100/L636,0)</f>
        <v>16.515609264853978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49650</v>
      </c>
      <c r="M638" s="521"/>
      <c r="N638" s="522">
        <f ca="1">SUM(N639:N640)</f>
        <v>8200</v>
      </c>
      <c r="O638" s="522">
        <f t="shared" ca="1" si="130"/>
        <v>16.515609264853978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49650</v>
      </c>
      <c r="M640" s="521"/>
      <c r="N640" s="522">
        <f ca="1">SUM(N641:N644)</f>
        <v>8200</v>
      </c>
      <c r="O640" s="522">
        <f t="shared" ca="1" si="130"/>
        <v>16.515609264853978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8200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IFERROR(__xludf.DUMMYFUNCTION("IMPORTRANGE(""https://docs.google.com/spreadsheets/d/1SX6NBoVAgQJ6U1MVXOaj8PK2l7WJ3RER9xtqwdhxkhw/edit#gid=346597447"",""ปทุมธานี!J541"")"),0)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IFERROR(__xludf.DUMMYFUNCTION("IMPORTRANGE(""https://docs.google.com/spreadsheets/d/1SX6NBoVAgQJ6U1MVXOaj8PK2l7WJ3RER9xtqwdhxkhw/edit#gid=346597447"",""ปทุมธานี!J542"")"),1)</f>
        <v>1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IFERROR(__xludf.DUMMYFUNCTION("IMPORTRANGE(""https://docs.google.com/spreadsheets/d/1SX6NBoVAgQJ6U1MVXOaj8PK2l7WJ3RER9xtqwdhxkhw/edit#gid=346597447"",""ปทุมธานี!I543"")"),0)</f>
        <v>0</v>
      </c>
      <c r="J648" s="536">
        <f ca="1">IFERROR(__xludf.DUMMYFUNCTION("IMPORTRANGE(""https://docs.google.com/spreadsheets/d/1SX6NBoVAgQJ6U1MVXOaj8PK2l7WJ3RER9xtqwdhxkhw/edit#gid=346597447"",""ปทุมธานี!J543"")"),0)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IFERROR(__xludf.DUMMYFUNCTION("IMPORTRANGE(""https://docs.google.com/spreadsheets/d/1SX6NBoVAgQJ6U1MVXOaj8PK2l7WJ3RER9xtqwdhxkhw/edit#gid=346597447"",""ปทุมธานี!L543"")"),0)</f>
        <v>0</v>
      </c>
      <c r="M648" s="521"/>
      <c r="N648" s="538">
        <f ca="1">IFERROR(__xludf.DUMMYFUNCTION("IMPORTRANGE(""https://docs.google.com/spreadsheets/d/1SX6NBoVAgQJ6U1MVXOaj8PK2l7WJ3RER9xtqwdhxkhw/edit#gid=346597447"",""ปทุมธานี!M543"")"),0)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IFERROR(__xludf.DUMMYFUNCTION("IMPORTRANGE(""https://docs.google.com/spreadsheets/d/1SX6NBoVAgQJ6U1MVXOaj8PK2l7WJ3RER9xtqwdhxkhw/edit#gid=346597447"",""ปทุมธานี!I544"")"),60)</f>
        <v>60</v>
      </c>
      <c r="J649" s="536">
        <f ca="1">IFERROR(__xludf.DUMMYFUNCTION("IMPORTRANGE(""https://docs.google.com/spreadsheets/d/1SX6NBoVAgQJ6U1MVXOaj8PK2l7WJ3RER9xtqwdhxkhw/edit#gid=346597447"",""ปทุมธานี!J544"")"),0)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IFERROR(__xludf.DUMMYFUNCTION("IMPORTRANGE(""https://docs.google.com/spreadsheets/d/1SX6NBoVAgQJ6U1MVXOaj8PK2l7WJ3RER9xtqwdhxkhw/edit#gid=346597447"",""ปทุมธานี!L544"")"),7200)</f>
        <v>7200</v>
      </c>
      <c r="M649" s="521"/>
      <c r="N649" s="538">
        <f ca="1">IFERROR(__xludf.DUMMYFUNCTION("IMPORTRANGE(""https://docs.google.com/spreadsheets/d/1SX6NBoVAgQJ6U1MVXOaj8PK2l7WJ3RER9xtqwdhxkhw/edit#gid=346597447"",""ปทุมธานี!M544"")"),0)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IFERROR(__xludf.DUMMYFUNCTION("IMPORTRANGE(""https://docs.google.com/spreadsheets/d/1SX6NBoVAgQJ6U1MVXOaj8PK2l7WJ3RER9xtqwdhxkhw/edit#gid=346597447"",""ปทุมธานี!I545"")"),125)</f>
        <v>125</v>
      </c>
      <c r="J650" s="536">
        <f ca="1">IFERROR(__xludf.DUMMYFUNCTION("IMPORTRANGE(""https://docs.google.com/spreadsheets/d/1SX6NBoVAgQJ6U1MVXOaj8PK2l7WJ3RER9xtqwdhxkhw/edit#gid=346597447"",""ปทุมธานี!J545"")"),0)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IFERROR(__xludf.DUMMYFUNCTION("IMPORTRANGE(""https://docs.google.com/spreadsheets/d/1SX6NBoVAgQJ6U1MVXOaj8PK2l7WJ3RER9xtqwdhxkhw/edit#gid=346597447"",""ปทุมธานี!L545"")"),625)</f>
        <v>625</v>
      </c>
      <c r="M650" s="521"/>
      <c r="N650" s="538">
        <f ca="1">IFERROR(__xludf.DUMMYFUNCTION("IMPORTRANGE(""https://docs.google.com/spreadsheets/d/1SX6NBoVAgQJ6U1MVXOaj8PK2l7WJ3RER9xtqwdhxkhw/edit#gid=346597447"",""ปทุมธานี!M545"")"),0)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IFERROR(__xludf.DUMMYFUNCTION("IMPORTRANGE(""https://docs.google.com/spreadsheets/d/1SX6NBoVAgQJ6U1MVXOaj8PK2l7WJ3RER9xtqwdhxkhw/edit#gid=346597447"",""ปทุมธานี!I546"")"),505)</f>
        <v>505</v>
      </c>
      <c r="J651" s="536">
        <f ca="1">J657+J660</f>
        <v>748</v>
      </c>
      <c r="K651" s="537">
        <f t="shared" ca="1" si="131"/>
        <v>148.11881188118812</v>
      </c>
      <c r="L651" s="522">
        <f ca="1">IFERROR(__xludf.DUMMYFUNCTION("IMPORTRANGE(""https://docs.google.com/spreadsheets/d/1SX6NBoVAgQJ6U1MVXOaj8PK2l7WJ3RER9xtqwdhxkhw/edit#gid=346597447"",""ปทุมธานี!L546"")"),12625)</f>
        <v>12625</v>
      </c>
      <c r="M651" s="521"/>
      <c r="N651" s="538">
        <f ca="1">IFERROR(__xludf.DUMMYFUNCTION("IMPORTRANGE(""https://docs.google.com/spreadsheets/d/1SX6NBoVAgQJ6U1MVXOaj8PK2l7WJ3RER9xtqwdhxkhw/edit#gid=346597447"",""ปทุมธานี!M546"")"),6600)</f>
        <v>6600</v>
      </c>
      <c r="O651" s="537">
        <f t="shared" ca="1" si="132"/>
        <v>52.277227722772274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IFERROR(__xludf.DUMMYFUNCTION("IMPORTRANGE(""https://docs.google.com/spreadsheets/d/1SX6NBoVAgQJ6U1MVXOaj8PK2l7WJ3RER9xtqwdhxkhw/edit#gid=346597447"",""ปทุมธานี!J547"")"),44)</f>
        <v>44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IFERROR(__xludf.DUMMYFUNCTION("IMPORTRANGE(""https://docs.google.com/spreadsheets/d/1SX6NBoVAgQJ6U1MVXOaj8PK2l7WJ3RER9xtqwdhxkhw/edit#gid=346597447"",""ปทุมธานี!J548"")"),748)</f>
        <v>748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IFERROR(__xludf.DUMMYFUNCTION("IMPORTRANGE(""https://docs.google.com/spreadsheets/d/1SX6NBoVAgQJ6U1MVXOaj8PK2l7WJ3RER9xtqwdhxkhw/edit#gid=346597447"",""ปทุมธานี!J550"")"),8)</f>
        <v>8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IFERROR(__xludf.DUMMYFUNCTION("IMPORTRANGE(""https://docs.google.com/spreadsheets/d/1SX6NBoVAgQJ6U1MVXOaj8PK2l7WJ3RER9xtqwdhxkhw/edit#gid=346597447"",""ปทุมธานี!J551"")"),8)</f>
        <v>8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IFERROR(__xludf.DUMMYFUNCTION("IMPORTRANGE(""https://docs.google.com/spreadsheets/d/1SX6NBoVAgQJ6U1MVXOaj8PK2l7WJ3RER9xtqwdhxkhw/edit#gid=346597447"",""ปทุมธานี!J552"")"),138)</f>
        <v>138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IFERROR(__xludf.DUMMYFUNCTION("IMPORTRANGE(""https://docs.google.com/spreadsheets/d/1SX6NBoVAgQJ6U1MVXOaj8PK2l7WJ3RER9xtqwdhxkhw/edit#gid=346597447"",""ปทุมธานี!J553"")"),36)</f>
        <v>36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IFERROR(__xludf.DUMMYFUNCTION("IMPORTRANGE(""https://docs.google.com/spreadsheets/d/1SX6NBoVAgQJ6U1MVXOaj8PK2l7WJ3RER9xtqwdhxkhw/edit#gid=346597447"",""ปทุมธานี!J554"")"),36)</f>
        <v>36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IFERROR(__xludf.DUMMYFUNCTION("IMPORTRANGE(""https://docs.google.com/spreadsheets/d/1SX6NBoVAgQJ6U1MVXOaj8PK2l7WJ3RER9xtqwdhxkhw/edit#gid=346597447"",""ปทุมธานี!J555"")"),610)</f>
        <v>610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IFERROR(__xludf.DUMMYFUNCTION("IMPORTRANGE(""https://docs.google.com/spreadsheets/d/1SX6NBoVAgQJ6U1MVXOaj8PK2l7WJ3RER9xtqwdhxkhw/edit#gid=346597447"",""ปทุมธานี!J556"")"),0)</f>
        <v>0</v>
      </c>
      <c r="K661" s="537"/>
      <c r="L661" s="522">
        <f ca="1">IFERROR(__xludf.DUMMYFUNCTION("IMPORTRANGE(""https://docs.google.com/spreadsheets/d/1SX6NBoVAgQJ6U1MVXOaj8PK2l7WJ3RER9xtqwdhxkhw/edit#gid=346597447"",""ปทุมธานี!L556"")"),6000)</f>
        <v>6000</v>
      </c>
      <c r="M661" s="521"/>
      <c r="N661" s="538">
        <f ca="1">IFERROR(__xludf.DUMMYFUNCTION("IMPORTRANGE(""https://docs.google.com/spreadsheets/d/1SX6NBoVAgQJ6U1MVXOaj8PK2l7WJ3RER9xtqwdhxkhw/edit#gid=346597447"",""ปทุมธานี!M556"")"),0)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IFERROR(__xludf.DUMMYFUNCTION("IMPORTRANGE(""https://docs.google.com/spreadsheets/d/1SX6NBoVAgQJ6U1MVXOaj8PK2l7WJ3RER9xtqwdhxkhw/edit#gid=346597447"",""ปทุมธานี!J557"")"),0)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IFERROR(__xludf.DUMMYFUNCTION("IMPORTRANGE(""https://docs.google.com/spreadsheets/d/1SX6NBoVAgQJ6U1MVXOaj8PK2l7WJ3RER9xtqwdhxkhw/edit#gid=346597447"",""ปทุมธานี!I558"")"),150)</f>
        <v>150</v>
      </c>
      <c r="J663" s="536">
        <f ca="1">IFERROR(__xludf.DUMMYFUNCTION("IMPORTRANGE(""https://docs.google.com/spreadsheets/d/1SX6NBoVAgQJ6U1MVXOaj8PK2l7WJ3RER9xtqwdhxkhw/edit#gid=346597447"",""ปทุมธานี!J558"")"),0)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IFERROR(__xludf.DUMMYFUNCTION("IMPORTRANGE(""https://docs.google.com/spreadsheets/d/1SX6NBoVAgQJ6U1MVXOaj8PK2l7WJ3RER9xtqwdhxkhw/edit#gid=346597447"",""ปทุมธานี!I560"")"),30)</f>
        <v>30</v>
      </c>
      <c r="J665" s="536">
        <f ca="1">IFERROR(__xludf.DUMMYFUNCTION("IMPORTRANGE(""https://docs.google.com/spreadsheets/d/1SX6NBoVAgQJ6U1MVXOaj8PK2l7WJ3RER9xtqwdhxkhw/edit#gid=346597447"",""ปทุมธานี!J560"")"),0)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IFERROR(__xludf.DUMMYFUNCTION("IMPORTRANGE(""https://docs.google.com/spreadsheets/d/1SX6NBoVAgQJ6U1MVXOaj8PK2l7WJ3RER9xtqwdhxkhw/edit#gid=346597447"",""ปทุมธานี!L560"")"),3600)</f>
        <v>3600</v>
      </c>
      <c r="M665" s="521"/>
      <c r="N665" s="538">
        <f ca="1">IFERROR(__xludf.DUMMYFUNCTION("IMPORTRANGE(""https://docs.google.com/spreadsheets/d/1SX6NBoVAgQJ6U1MVXOaj8PK2l7WJ3RER9xtqwdhxkhw/edit#gid=346597447"",""ปทุมธานี!M560"")"),0)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IFERROR(__xludf.DUMMYFUNCTION("IMPORTRANGE(""https://docs.google.com/spreadsheets/d/1SX6NBoVAgQJ6U1MVXOaj8PK2l7WJ3RER9xtqwdhxkhw/edit#gid=346597447"",""ปทุมธานี!J561"")"),0)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IFERROR(__xludf.DUMMYFUNCTION("IMPORTRANGE(""https://docs.google.com/spreadsheets/d/1SX6NBoVAgQJ6U1MVXOaj8PK2l7WJ3RER9xtqwdhxkhw/edit#gid=346597447"",""ปทุมธานี!J562"")"),0)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IFERROR(__xludf.DUMMYFUNCTION("IMPORTRANGE(""https://docs.google.com/spreadsheets/d/1SX6NBoVAgQJ6U1MVXOaj8PK2l7WJ3RER9xtqwdhxkhw/edit#gid=346597447"",""ปทุมธานี!I563"")"),30)</f>
        <v>30</v>
      </c>
      <c r="J668" s="536">
        <f ca="1">IFERROR(__xludf.DUMMYFUNCTION("IMPORTRANGE(""https://docs.google.com/spreadsheets/d/1SX6NBoVAgQJ6U1MVXOaj8PK2l7WJ3RER9xtqwdhxkhw/edit#gid=346597447"",""ปทุมธานี!J563"")"),0)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IFERROR(__xludf.DUMMYFUNCTION("IMPORTRANGE(""https://docs.google.com/spreadsheets/d/1SX6NBoVAgQJ6U1MVXOaj8PK2l7WJ3RER9xtqwdhxkhw/edit#gid=346597447"",""ปทุมธานี!L563"")"),15600)</f>
        <v>15600</v>
      </c>
      <c r="M668" s="521"/>
      <c r="N668" s="538">
        <f ca="1">IFERROR(__xludf.DUMMYFUNCTION("IMPORTRANGE(""https://docs.google.com/spreadsheets/d/1SX6NBoVAgQJ6U1MVXOaj8PK2l7WJ3RER9xtqwdhxkhw/edit#gid=346597447"",""ปทุมธานี!M563"")"),1000)</f>
        <v>1000</v>
      </c>
      <c r="O668" s="537">
        <f ca="1">IF(L668&gt;0,N668*100/L668,0)</f>
        <v>6.4102564102564106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IFERROR(__xludf.DUMMYFUNCTION("IMPORTRANGE(""https://docs.google.com/spreadsheets/d/1SX6NBoVAgQJ6U1MVXOaj8PK2l7WJ3RER9xtqwdhxkhw/edit#gid=346597447"",""ปทุมธานี!J564"")"),0)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IFERROR(__xludf.DUMMYFUNCTION("IMPORTRANGE(""https://docs.google.com/spreadsheets/d/1SX6NBoVAgQJ6U1MVXOaj8PK2l7WJ3RER9xtqwdhxkhw/edit#gid=346597447"",""ปทุมธานี!J565"")"),0)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IFERROR(__xludf.DUMMYFUNCTION("IMPORTRANGE(""https://docs.google.com/spreadsheets/d/1SX6NBoVAgQJ6U1MVXOaj8PK2l7WJ3RER9xtqwdhxkhw/edit#gid=346597447"",""ปทุมธานี!I566"")"),50)</f>
        <v>50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IFERROR(__xludf.DUMMYFUNCTION("IMPORTRANGE(""https://docs.google.com/spreadsheets/d/1SX6NBoVAgQJ6U1MVXOaj8PK2l7WJ3RER9xtqwdhxkhw/edit#gid=346597447"",""ปทุมธานี!L566"")"),4000)</f>
        <v>4000</v>
      </c>
      <c r="M671" s="521"/>
      <c r="N671" s="538">
        <f ca="1">IFERROR(__xludf.DUMMYFUNCTION("IMPORTRANGE(""https://docs.google.com/spreadsheets/d/1SX6NBoVAgQJ6U1MVXOaj8PK2l7WJ3RER9xtqwdhxkhw/edit#gid=346597447"",""ปทุมธานี!M566"")"),600)</f>
        <v>600</v>
      </c>
      <c r="O671" s="537">
        <f ca="1">IF(L671&gt;0,N671*100/L671,0)</f>
        <v>15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IFERROR(__xludf.DUMMYFUNCTION("IMPORTRANGE(""https://docs.google.com/spreadsheets/d/1SX6NBoVAgQJ6U1MVXOaj8PK2l7WJ3RER9xtqwdhxkhw/edit#gid=346597447"",""ปทุมธานี!J567"")"),0)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IFERROR(__xludf.DUMMYFUNCTION("IMPORTRANGE(""https://docs.google.com/spreadsheets/d/1SX6NBoVAgQJ6U1MVXOaj8PK2l7WJ3RER9xtqwdhxkhw/edit#gid=346597447"",""ปทุมธานี!J568"")"),0)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IFERROR(__xludf.DUMMYFUNCTION("IMPORTRANGE(""https://docs.google.com/spreadsheets/d/1SX6NBoVAgQJ6U1MVXOaj8PK2l7WJ3RER9xtqwdhxkhw/edit#gid=346597447"",""ปทุมธานี!J569"")"),0)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IFERROR(__xludf.DUMMYFUNCTION("IMPORTRANGE(""https://docs.google.com/spreadsheets/d/1SX6NBoVAgQJ6U1MVXOaj8PK2l7WJ3RER9xtqwdhxkhw/edit#gid=346597447"",""ปทุมธานี!J570"")"),0)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IFERROR(__xludf.DUMMYFUNCTION("IMPORTRANGE(""https://docs.google.com/spreadsheets/d/1SX6NBoVAgQJ6U1MVXOaj8PK2l7WJ3RER9xtqwdhxkhw/edit#gid=346597447"",""ปทุมธานี!J571"")"),0)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IFERROR(__xludf.DUMMYFUNCTION("IMPORTRANGE(""https://docs.google.com/spreadsheets/d/1SX6NBoVAgQJ6U1MVXOaj8PK2l7WJ3RER9xtqwdhxkhw/edit#gid=346597447"",""ปทุมธานี!J572"")"),0)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278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2920849</v>
      </c>
      <c r="M8" s="23">
        <f t="shared" ca="1" si="0"/>
        <v>1465235</v>
      </c>
      <c r="N8" s="23">
        <f t="shared" ca="1" si="0"/>
        <v>2066290.09</v>
      </c>
      <c r="O8" s="22">
        <f t="shared" ref="O8:O16" ca="1" si="1">IF(L8&gt;0,N8*100/L8,0)</f>
        <v>70.742790537956594</v>
      </c>
      <c r="P8" s="22">
        <f t="shared" ref="P8:P16" ca="1" si="2">IF(M8&gt;0,N8*100/M8,0)</f>
        <v>141.02107102273698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2920849</v>
      </c>
      <c r="M10" s="30">
        <f t="shared" ca="1" si="4"/>
        <v>1465235</v>
      </c>
      <c r="N10" s="30">
        <f t="shared" ca="1" si="4"/>
        <v>2066290.09</v>
      </c>
      <c r="O10" s="29">
        <f t="shared" ca="1" si="1"/>
        <v>70.742790537956594</v>
      </c>
      <c r="P10" s="29">
        <f t="shared" ca="1" si="2"/>
        <v>141.02107102273698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2773849</v>
      </c>
      <c r="M12" s="38">
        <f t="shared" ca="1" si="6"/>
        <v>1318235</v>
      </c>
      <c r="N12" s="38">
        <f t="shared" ca="1" si="6"/>
        <v>1919290.09</v>
      </c>
      <c r="O12" s="38">
        <f t="shared" ca="1" si="1"/>
        <v>69.192306070013188</v>
      </c>
      <c r="P12" s="38">
        <f t="shared" ca="1" si="2"/>
        <v>145.59544314936261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1394349</v>
      </c>
      <c r="M14" s="38">
        <f t="shared" si="8"/>
        <v>0</v>
      </c>
      <c r="N14" s="38">
        <f t="shared" ca="1" si="8"/>
        <v>812967.57000000007</v>
      </c>
      <c r="O14" s="38">
        <f t="shared" ca="1" si="1"/>
        <v>58.304453906446668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1871070</v>
      </c>
      <c r="M18" s="23">
        <f t="shared" ca="1" si="11"/>
        <v>1465235</v>
      </c>
      <c r="N18" s="23">
        <f t="shared" ca="1" si="11"/>
        <v>1253322.52</v>
      </c>
      <c r="O18" s="22">
        <f t="shared" ref="O18:O20" ca="1" si="12">IF(L18&gt;0,N18*100/L18,0)</f>
        <v>66.984266756454858</v>
      </c>
      <c r="P18" s="22">
        <f t="shared" ref="P18:P26" ca="1" si="13">IF(M18&gt;0,N18*100/M18,0)</f>
        <v>85.537304254948864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1871070</v>
      </c>
      <c r="M20" s="30">
        <f t="shared" ca="1" si="15"/>
        <v>1465235</v>
      </c>
      <c r="N20" s="30">
        <f t="shared" ca="1" si="15"/>
        <v>1253322.52</v>
      </c>
      <c r="O20" s="29">
        <f t="shared" ca="1" si="12"/>
        <v>66.984266756454858</v>
      </c>
      <c r="P20" s="29">
        <f t="shared" ca="1" si="13"/>
        <v>85.537304254948864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1724070</v>
      </c>
      <c r="M22" s="41">
        <f t="shared" ca="1" si="18"/>
        <v>1318235</v>
      </c>
      <c r="N22" s="38">
        <f t="shared" ca="1" si="18"/>
        <v>1106322.52</v>
      </c>
      <c r="O22" s="38">
        <f t="shared" ca="1" si="17"/>
        <v>64.169234427836457</v>
      </c>
      <c r="P22" s="38">
        <f t="shared" ca="1" si="13"/>
        <v>83.924529389676351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1379500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344570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1049779</v>
      </c>
      <c r="M28" s="23">
        <f t="shared" si="23"/>
        <v>0</v>
      </c>
      <c r="N28" s="23">
        <f t="shared" ca="1" si="23"/>
        <v>812967.57000000007</v>
      </c>
      <c r="O28" s="22">
        <f t="shared" ref="O28:O30" ca="1" si="24">IF(L28&gt;0,N28*100/L28,0)</f>
        <v>77.441782508508936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1049779</v>
      </c>
      <c r="M30" s="30">
        <f t="shared" si="27"/>
        <v>0</v>
      </c>
      <c r="N30" s="30">
        <f t="shared" ca="1" si="27"/>
        <v>812967.57000000007</v>
      </c>
      <c r="O30" s="29">
        <f t="shared" ca="1" si="24"/>
        <v>77.441782508508936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1049779</v>
      </c>
      <c r="M32" s="38">
        <f t="shared" si="30"/>
        <v>0</v>
      </c>
      <c r="N32" s="38">
        <f t="shared" ca="1" si="30"/>
        <v>812967.57000000007</v>
      </c>
      <c r="O32" s="38">
        <f t="shared" ca="1" si="29"/>
        <v>77.441782508508936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1049779</v>
      </c>
      <c r="M34" s="38">
        <f t="shared" si="32"/>
        <v>0</v>
      </c>
      <c r="N34" s="38">
        <f t="shared" ca="1" si="32"/>
        <v>812967.57000000007</v>
      </c>
      <c r="O34" s="38">
        <f t="shared" ca="1" si="29"/>
        <v>77.441782508508936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1871070</v>
      </c>
      <c r="M37" s="54">
        <f t="shared" ca="1" si="33"/>
        <v>1465235</v>
      </c>
      <c r="N37" s="54">
        <f t="shared" ca="1" si="33"/>
        <v>1253322.52</v>
      </c>
      <c r="O37" s="55">
        <f t="shared" ca="1" si="29"/>
        <v>66.984266756454858</v>
      </c>
      <c r="P37" s="55">
        <f t="shared" ca="1" si="25"/>
        <v>85.537304254948864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574400</v>
      </c>
      <c r="M41" s="78">
        <f t="shared" ca="1" si="34"/>
        <v>430900</v>
      </c>
      <c r="N41" s="78">
        <f t="shared" ca="1" si="34"/>
        <v>408837.83</v>
      </c>
      <c r="O41" s="77">
        <f t="shared" ref="O41:O43" ca="1" si="35">IF(L41&gt;0,N41*100/L41,0)</f>
        <v>71.176502437325908</v>
      </c>
      <c r="P41" s="77">
        <f t="shared" ref="P41:P43" ca="1" si="36">IF(M41&gt;0,N41*100/M41,0)</f>
        <v>94.879979113483401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574400</v>
      </c>
      <c r="M43" s="78">
        <f t="shared" ca="1" si="38"/>
        <v>430900</v>
      </c>
      <c r="N43" s="78">
        <f t="shared" ca="1" si="38"/>
        <v>408837.83</v>
      </c>
      <c r="O43" s="77">
        <f t="shared" ca="1" si="35"/>
        <v>71.176502437325908</v>
      </c>
      <c r="P43" s="77">
        <f t="shared" ca="1" si="36"/>
        <v>94.879979113483401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574400</v>
      </c>
      <c r="M45" s="49">
        <f ca="1">IFERROR(__xludf.DUMMYFUNCTION("IMPORTRANGE(""https://docs.google.com/spreadsheets/d/1Yj_ptqi66GCucihVvJfMjLAmec39IyEx_6qawtMGysU/edit?usp=sharing"",""สบก!Q68"")"),430900)</f>
        <v>430900</v>
      </c>
      <c r="N45" s="49">
        <f ca="1">IFERROR(__xludf.DUMMYFUNCTION("IMPORTRANGE(""https://docs.google.com/spreadsheets/d/1Yj_ptqi66GCucihVvJfMjLAmec39IyEx_6qawtMGysU/edit?usp=sharing"",""สบก!R68"")"),408837.83)</f>
        <v>408837.83</v>
      </c>
      <c r="O45" s="38">
        <f ca="1">IF(L45&gt;0,N45*100/L45,0)</f>
        <v>71.176502437325908</v>
      </c>
      <c r="P45" s="38">
        <f ca="1">IF(M45&gt;0,N45*100/M45,0)</f>
        <v>94.879979113483401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IFERROR(__xludf.DUMMYFUNCTION("IMPORTRANGE(""https://docs.google.com/spreadsheets/d/1Yj_ptqi66GCucihVvJfMjLAmec39IyEx_6qawtMGysU/edit?usp=sharing"",""สบก!M68"")"),574400)</f>
        <v>574400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238500</v>
      </c>
      <c r="N53" s="121">
        <f t="shared" ca="1" si="39"/>
        <v>196496.77</v>
      </c>
      <c r="O53" s="120">
        <f t="shared" ref="O53:O55" ca="1" si="40">IF(L53&gt;0,N53*100/L53,0)</f>
        <v>65.498923333333337</v>
      </c>
      <c r="P53" s="120">
        <f t="shared" ref="P53:P55" ca="1" si="41">IF(M53&gt;0,N53*100/M53,0)</f>
        <v>82.388582809224317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238500</v>
      </c>
      <c r="N55" s="121">
        <f t="shared" ca="1" si="43"/>
        <v>196496.77</v>
      </c>
      <c r="O55" s="120">
        <f t="shared" ca="1" si="40"/>
        <v>65.498923333333337</v>
      </c>
      <c r="P55" s="120">
        <f t="shared" ca="1" si="41"/>
        <v>82.388582809224317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IFERROR(__xludf.DUMMYFUNCTION("IMPORTRANGE(""https://docs.google.com/spreadsheets/d/1Yj_ptqi66GCucihVvJfMjLAmec39IyEx_6qawtMGysU/edit?usp=sharing"",""สบก!Z68"")"),238500)</f>
        <v>238500</v>
      </c>
      <c r="N57" s="49">
        <f ca="1">IFERROR(__xludf.DUMMYFUNCTION("IMPORTRANGE(""https://docs.google.com/spreadsheets/d/1Yj_ptqi66GCucihVvJfMjLAmec39IyEx_6qawtMGysU/edit?usp=sharing"",""สบก!AA68"")"),196496.77)</f>
        <v>196496.77</v>
      </c>
      <c r="O57" s="38">
        <f ca="1">IF(L57&gt;0,N57*100/L57,0)</f>
        <v>65.498923333333337</v>
      </c>
      <c r="P57" s="38">
        <f ca="1">IF(M57&gt;0,N57*100/M57,0)</f>
        <v>82.388582809224317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IFERROR(__xludf.DUMMYFUNCTION("IMPORTRANGE(""https://docs.google.com/spreadsheets/d/1Yj_ptqi66GCucihVvJfMjLAmec39IyEx_6qawtMGysU/edit?usp=sharing"",""สบก!AI68"")"),0)</f>
        <v>0</v>
      </c>
      <c r="N70" s="169">
        <f ca="1">IFERROR(__xludf.DUMMYFUNCTION("IMPORTRANGE(""https://docs.google.com/spreadsheets/d/1Yj_ptqi66GCucihVvJfMjLAmec39IyEx_6qawtMGysU/edit?usp=sharing"",""สบก!AJ68"")"),0)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IFERROR(__xludf.DUMMYFUNCTION("IMPORTRANGE(""https://docs.google.com/spreadsheets/d/1Yj_ptqi66GCucihVvJfMjLAmec39IyEx_6qawtMGysU/edit?usp=sharing"",""สบก!AE68"")"),0)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IFERROR(__xludf.DUMMYFUNCTION("IMPORTRANGE(""https://docs.google.com/spreadsheets/d/1Yj_ptqi66GCucihVvJfMjLAmec39IyEx_6qawtMGysU/edit?usp=sharing"",""สบก!AF68"")"),0)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1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1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4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4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8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8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4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4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4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IFERROR(__xludf.DUMMYFUNCTION("IMPORTRANGE(""https://docs.google.com/spreadsheets/d/1Yj_ptqi66GCucihVvJfMjLAmec39IyEx_6qawtMGysU/edit?usp=sharing"",""สบก!AR68"")"),0)</f>
        <v>0</v>
      </c>
      <c r="N98" s="169">
        <f ca="1">IFERROR(__xludf.DUMMYFUNCTION("IMPORTRANGE(""https://docs.google.com/spreadsheets/d/1Yj_ptqi66GCucihVvJfMjLAmec39IyEx_6qawtMGysU/edit?usp=sharing"",""สบก!AS68"")"),0)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4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4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4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4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4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4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IFERROR(__xludf.DUMMYFUNCTION("IMPORTRANGE(""https://docs.google.com/spreadsheets/d/1Yj_ptqi66GCucihVvJfMjLAmec39IyEx_6qawtMGysU/edit?usp=sharing"",""สบก!BA68"")"),0)</f>
        <v>0</v>
      </c>
      <c r="N122" s="169">
        <f ca="1">IFERROR(__xludf.DUMMYFUNCTION("IMPORTRANGE(""https://docs.google.com/spreadsheets/d/1Yj_ptqi66GCucihVvJfMjLAmec39IyEx_6qawtMGysU/edit?usp=sharing"",""สบก!BB68"")"),0)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IFERROR(__xludf.DUMMYFUNCTION("IMPORTRANGE(""https://docs.google.com/spreadsheets/d/1Yj_ptqi66GCucihVvJfMjLAmec39IyEx_6qawtMGysU/edit?usp=sharing"",""สบก!AX68"")"),0)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4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4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8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44500</v>
      </c>
      <c r="M140" s="152">
        <f t="shared" ca="1" si="64"/>
        <v>33625</v>
      </c>
      <c r="N140" s="152">
        <f t="shared" ca="1" si="64"/>
        <v>23592</v>
      </c>
      <c r="O140" s="151">
        <f t="shared" ref="O140:O142" ca="1" si="65">IF(L140&gt;0,N140*100/L140,0)</f>
        <v>53.015730337078651</v>
      </c>
      <c r="P140" s="151">
        <f t="shared" ref="P140:P142" ca="1" si="66">IF(M140&gt;0,N140*100/M140,0)</f>
        <v>70.162081784386615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44500</v>
      </c>
      <c r="M142" s="157">
        <f t="shared" ca="1" si="68"/>
        <v>33625</v>
      </c>
      <c r="N142" s="157">
        <f t="shared" ca="1" si="68"/>
        <v>23592</v>
      </c>
      <c r="O142" s="156">
        <f t="shared" ca="1" si="65"/>
        <v>53.015730337078651</v>
      </c>
      <c r="P142" s="156">
        <f t="shared" ca="1" si="66"/>
        <v>70.162081784386615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44500</v>
      </c>
      <c r="M144" s="168">
        <f ca="1">IFERROR(__xludf.DUMMYFUNCTION("IMPORTRANGE(""https://docs.google.com/spreadsheets/d/1Yj_ptqi66GCucihVvJfMjLAmec39IyEx_6qawtMGysU/edit?usp=sharing"",""สบก!BJ68"")"),33625)</f>
        <v>33625</v>
      </c>
      <c r="N144" s="169">
        <f ca="1">IFERROR(__xludf.DUMMYFUNCTION("IMPORTRANGE(""https://docs.google.com/spreadsheets/d/1Yj_ptqi66GCucihVvJfMjLAmec39IyEx_6qawtMGysU/edit?usp=sharing"",""สบก!BK68"")"),23592)</f>
        <v>23592</v>
      </c>
      <c r="O144" s="169">
        <f ca="1">IF(L144&gt;0,N144*100/L144,0)</f>
        <v>53.015730337078651</v>
      </c>
      <c r="P144" s="169">
        <f ca="1">IF(M144&gt;0,N144*100/M144,0)</f>
        <v>70.162081784386615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IFERROR(__xludf.DUMMYFUNCTION("IMPORTRANGE(""https://docs.google.com/spreadsheets/d/1Yj_ptqi66GCucihVvJfMjLAmec39IyEx_6qawtMGysU/edit?usp=sharing"",""สบก!BG68"")"),44500)</f>
        <v>44500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6">
        <f ca="1">IFERROR(__xludf.DUMMYFUNCTION("IMPORTRANGE(""https://docs.google.com/spreadsheets/d/1SX6NBoVAgQJ6U1MVXOaj8PK2l7WJ3RER9xtqwdhxkhw/edit?usp=sharing"",""ประจวบคีรีขันธ์!J74"")"),2)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IFERROR(__xludf.DUMMYFUNCTION("IMPORTRANGE(""https://docs.google.com/spreadsheets/d/1SX6NBoVAgQJ6U1MVXOaj8PK2l7WJ3RER9xtqwdhxkhw/edit?usp=sharing"",""ประจวบคีรีขันธ์!J82"")"),1)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89">
        <f ca="1">IFERROR(__xludf.DUMMYFUNCTION("IMPORTRANGE(""https://docs.google.com/spreadsheets/d/1SX6NBoVAgQJ6U1MVXOaj8PK2l7WJ3RER9xtqwdhxkhw/edit?usp=sharing"",""ประจวบคีรีขันธ์!J83"")"),2)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IFERROR(__xludf.DUMMYFUNCTION("IMPORTRANGE(""https://docs.google.com/spreadsheets/d/1SX6NBoVAgQJ6U1MVXOaj8PK2l7WJ3RER9xtqwdhxkhw/edit?usp=sharing"",""ประจวบคีรีขันธ์!J84"")"),45)</f>
        <v>45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IFERROR(__xludf.DUMMYFUNCTION("IMPORTRANGE(""https://docs.google.com/spreadsheets/d/1SX6NBoVAgQJ6U1MVXOaj8PK2l7WJ3RER9xtqwdhxkhw/edit?usp=sharing"",""ประจวบคีรีขันธ์!J85"")"),45)</f>
        <v>45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5">
        <f ca="1">IFERROR(__xludf.DUMMYFUNCTION("IMPORTRANGE(""https://docs.google.com/spreadsheets/d/1SX6NBoVAgQJ6U1MVXOaj8PK2l7WJ3RER9xtqwdhxkhw/edit?usp=sharing"",""ประจวบคีรีขันธ์!J89"")"),1)</f>
        <v>1</v>
      </c>
      <c r="K164" s="286">
        <f ca="1">IF(I164&gt;0,J164*100/I164,0)</f>
        <v>50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89">
        <f ca="1">IFERROR(__xludf.DUMMYFUNCTION("IMPORTRANGE(""https://docs.google.com/spreadsheets/d/1SX6NBoVAgQJ6U1MVXOaj8PK2l7WJ3RER9xtqwdhxkhw/edit?usp=sharing"",""ประจวบคีรีขันธ์!J98"")"),1)</f>
        <v>1</v>
      </c>
      <c r="K173" s="163">
        <f ca="1">IF(I173&gt;0,J173*100/I173,0)</f>
        <v>50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IFERROR(__xludf.DUMMYFUNCTION("IMPORTRANGE(""https://docs.google.com/spreadsheets/d/1SX6NBoVAgQJ6U1MVXOaj8PK2l7WJ3RER9xtqwdhxkhw/edit?usp=sharing"",""ประจวบคีรีขันธ์!J100"")"),0)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5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4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4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5">
        <f ca="1">IFERROR(__xludf.DUMMYFUNCTION("IMPORTRANGE(""https://docs.google.com/spreadsheets/d/1SX6NBoVAgQJ6U1MVXOaj8PK2l7WJ3RER9xtqwdhxkhw/edit?usp=sharing"",""ประจวบคีรีขันธ์!J114"")"),0)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IFERROR(__xludf.DUMMYFUNCTION("IMPORTRANGE(""https://docs.google.com/spreadsheets/d/1SX6NBoVAgQJ6U1MVXOaj8PK2l7WJ3RER9xtqwdhxkhw/edit?usp=sharing"",""ประจวบคีรีขันธ์!J122"")"),1)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89">
        <f ca="1">IFERROR(__xludf.DUMMYFUNCTION("IMPORTRANGE(""https://docs.google.com/spreadsheets/d/1SX6NBoVAgQJ6U1MVXOaj8PK2l7WJ3RER9xtqwdhxkhw/edit?usp=sharing"",""ประจวบคีรีขันธ์!J124"")"),0)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89">
        <f ca="1">IFERROR(__xludf.DUMMYFUNCTION("IMPORTRANGE(""https://docs.google.com/spreadsheets/d/1SX6NBoVAgQJ6U1MVXOaj8PK2l7WJ3RER9xtqwdhxkhw/edit?usp=sharing"",""ประจวบคีรีขันธ์!J125"")"),0)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8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IFERROR(__xludf.DUMMYFUNCTION("IMPORTRANGE(""https://docs.google.com/spreadsheets/d/1SX6NBoVAgQJ6U1MVXOaj8PK2l7WJ3RER9xtqwdhxkhw/edit?usp=sharing"",""ประจวบคีรีขันธ์!J127"")"),0)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IFERROR(__xludf.DUMMYFUNCTION("IMPORTRANGE(""https://docs.google.com/spreadsheets/d/1SX6NBoVAgQJ6U1MVXOaj8PK2l7WJ3RER9xtqwdhxkhw/edit?usp=sharing"",""ประจวบคีรีขันธ์!J128"")"),0)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5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4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4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4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8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IFERROR(__xludf.DUMMYFUNCTION("IMPORTRANGE(""https://docs.google.com/spreadsheets/d/1Yj_ptqi66GCucihVvJfMjLAmec39IyEx_6qawtMGysU/edit?usp=sharing"",""สบก!BS68"")"),20210)</f>
        <v>20210</v>
      </c>
      <c r="N224" s="169">
        <f ca="1">IFERROR(__xludf.DUMMYFUNCTION("IMPORTRANGE(""https://docs.google.com/spreadsheets/d/1Yj_ptqi66GCucihVvJfMjLAmec39IyEx_6qawtMGysU/edit?usp=sharing"",""สบก!BT68"")"),20210)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IFERROR(__xludf.DUMMYFUNCTION("IMPORTRANGE(""https://docs.google.com/spreadsheets/d/1Yj_ptqi66GCucihVvJfMjLAmec39IyEx_6qawtMGysU/edit?usp=sharing"",""สบก!BP68"")"),20210)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8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89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8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7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IFERROR(__xludf.DUMMYFUNCTION("IMPORTRANGE(""https://docs.google.com/spreadsheets/d/1Yj_ptqi66GCucihVvJfMjLAmec39IyEx_6qawtMGysU/edit?usp=sharing"",""สบก!CB68"")"),0)</f>
        <v>0</v>
      </c>
      <c r="N254" s="169">
        <f ca="1">IFERROR(__xludf.DUMMYFUNCTION("IMPORTRANGE(""https://docs.google.com/spreadsheets/d/1Yj_ptqi66GCucihVvJfMjLAmec39IyEx_6qawtMGysU/edit?usp=sharing"",""สบก!CC68"")"),0)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IFERROR(__xludf.DUMMYFUNCTION("IMPORTRANGE(""https://docs.google.com/spreadsheets/d/1Yj_ptqi66GCucihVvJfMjLAmec39IyEx_6qawtMGysU/edit?usp=sharing"",""สบก!BX68"")"),0)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IFERROR(__xludf.DUMMYFUNCTION("IMPORTRANGE(""https://docs.google.com/spreadsheets/d/1Yj_ptqi66GCucihVvJfMjLAmec39IyEx_6qawtMGysU/edit?usp=sharing"",""สบก!BY68"")"),0)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8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8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8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8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7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IFERROR(__xludf.DUMMYFUNCTION("IMPORTRANGE(""https://docs.google.com/spreadsheets/d/1Yj_ptqi66GCucihVvJfMjLAmec39IyEx_6qawtMGysU/edit?usp=sharing"",""สบก!CK68"")"),0)</f>
        <v>0</v>
      </c>
      <c r="N275" s="169">
        <f ca="1">IFERROR(__xludf.DUMMYFUNCTION("IMPORTRANGE(""https://docs.google.com/spreadsheets/d/1Yj_ptqi66GCucihVvJfMjLAmec39IyEx_6qawtMGysU/edit?usp=sharing"",""สบก!CL68"")"),0)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IFERROR(__xludf.DUMMYFUNCTION("IMPORTRANGE(""https://docs.google.com/spreadsheets/d/1Yj_ptqi66GCucihVvJfMjLAmec39IyEx_6qawtMGysU/edit?usp=sharing"",""สบก!CH68"")"),0)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8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7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IFERROR(__xludf.DUMMYFUNCTION("IMPORTRANGE(""https://docs.google.com/spreadsheets/d/1Yj_ptqi66GCucihVvJfMjLAmec39IyEx_6qawtMGysU/edit?usp=sharing"",""สบก!CT68"")"),0)</f>
        <v>0</v>
      </c>
      <c r="N294" s="169">
        <f ca="1">IFERROR(__xludf.DUMMYFUNCTION("IMPORTRANGE(""https://docs.google.com/spreadsheets/d/1Yj_ptqi66GCucihVvJfMjLAmec39IyEx_6qawtMGysU/edit?usp=sharing"",""สบก!CU68"")"),0)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IFERROR(__xludf.DUMMYFUNCTION("IMPORTRANGE(""https://docs.google.com/spreadsheets/d/1Yj_ptqi66GCucihVvJfMjLAmec39IyEx_6qawtMGysU/edit?usp=sharing"",""สบก!CQ68"")"),0)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4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4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4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IFERROR(__xludf.DUMMYFUNCTION("IMPORTRANGE(""https://docs.google.com/spreadsheets/d/1Yj_ptqi66GCucihVvJfMjLAmec39IyEx_6qawtMGysU/edit?usp=sharing"",""สบก!DC68"")"),0)</f>
        <v>0</v>
      </c>
      <c r="N314" s="169">
        <f ca="1">IFERROR(__xludf.DUMMYFUNCTION("IMPORTRANGE(""https://docs.google.com/spreadsheets/d/1Yj_ptqi66GCucihVvJfMjLAmec39IyEx_6qawtMGysU/edit?usp=sharing"",""สบก!DD68"")"),0)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IFERROR(__xludf.DUMMYFUNCTION("IMPORTRANGE(""https://docs.google.com/spreadsheets/d/1Yj_ptqi66GCucihVvJfMjLAmec39IyEx_6qawtMGysU/edit?usp=sharing"",""สบก!CZ68"")"),0)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4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40">
        <f ca="1">IFERROR(__xludf.DUMMYFUNCTION("IMPORTRANGE(""https://docs.google.com/spreadsheets/d/1SX6NBoVAgQJ6U1MVXOaj8PK2l7WJ3RER9xtqwdhxkhw/edit?usp=sharing"",""ประจวบคีรีขันธ์!J228"")"),38)</f>
        <v>38</v>
      </c>
      <c r="K328" s="318">
        <f ca="1">IF(I328&gt;0,J328*100/I328,0)</f>
        <v>28.148148148148149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931960</v>
      </c>
      <c r="M329" s="152">
        <f t="shared" ca="1" si="98"/>
        <v>742000</v>
      </c>
      <c r="N329" s="152">
        <f t="shared" ca="1" si="98"/>
        <v>604185.91999999993</v>
      </c>
      <c r="O329" s="151">
        <f t="shared" ref="O329:O331" ca="1" si="99">IF(L329&gt;0,N329*100/L329,0)</f>
        <v>64.82959783681703</v>
      </c>
      <c r="P329" s="151">
        <f t="shared" ref="P329:P331" ca="1" si="100">IF(M329&gt;0,N329*100/M329,0)</f>
        <v>81.426673854447429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931960</v>
      </c>
      <c r="M331" s="157">
        <f t="shared" ca="1" si="102"/>
        <v>742000</v>
      </c>
      <c r="N331" s="157">
        <f t="shared" ca="1" si="102"/>
        <v>604185.91999999993</v>
      </c>
      <c r="O331" s="156">
        <f t="shared" ca="1" si="99"/>
        <v>64.82959783681703</v>
      </c>
      <c r="P331" s="156">
        <f t="shared" ca="1" si="100"/>
        <v>81.426673854447429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784960</v>
      </c>
      <c r="M333" s="168">
        <f ca="1">IFERROR(__xludf.DUMMYFUNCTION("IMPORTRANGE(""https://docs.google.com/spreadsheets/d/1Yj_ptqi66GCucihVvJfMjLAmec39IyEx_6qawtMGysU/edit?usp=sharing"",""สบก!DL68"")"),595000)</f>
        <v>595000</v>
      </c>
      <c r="N333" s="169">
        <f ca="1">IFERROR(__xludf.DUMMYFUNCTION("IMPORTRANGE(""https://docs.google.com/spreadsheets/d/1Yj_ptqi66GCucihVvJfMjLAmec39IyEx_6qawtMGysU/edit?usp=sharing"",""สบก!DM68"")"),457185.92)</f>
        <v>457185.92</v>
      </c>
      <c r="O333" s="169">
        <f ca="1">IF(L333&gt;0,N333*100/L333,0)</f>
        <v>58.243212392988177</v>
      </c>
      <c r="P333" s="169">
        <f ca="1">IF(M333&gt;0,N333*100/M333,0)</f>
        <v>76.837969747899166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IFERROR(__xludf.DUMMYFUNCTION("IMPORTRANGE(""https://docs.google.com/spreadsheets/d/1Yj_ptqi66GCucihVvJfMjLAmec39IyEx_6qawtMGysU/edit?usp=sharing"",""สบก!DH68"")"),505100)</f>
        <v>505100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IFERROR(__xludf.DUMMYFUNCTION("IMPORTRANGE(""https://docs.google.com/spreadsheets/d/1Yj_ptqi66GCucihVvJfMjLAmec39IyEx_6qawtMGysU/edit?usp=sharing"",""สบก!DI68"")"),279860)</f>
        <v>279860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8">
        <f ca="1">IFERROR(__xludf.DUMMYFUNCTION("IMPORTRANGE(""https://docs.google.com/spreadsheets/d/1SX6NBoVAgQJ6U1MVXOaj8PK2l7WJ3RER9xtqwdhxkhw/edit?usp=sharing"",""ประจวบคีรีขันธ์!J234"")"),60)</f>
        <v>60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8">
        <f ca="1">IFERROR(__xludf.DUMMYFUNCTION("IMPORTRANGE(""https://docs.google.com/spreadsheets/d/1SX6NBoVAgQJ6U1MVXOaj8PK2l7WJ3RER9xtqwdhxkhw/edit?usp=sharing"",""ประจวบคีรีขันธ์!J235"")"),353.58)</f>
        <v>353.58</v>
      </c>
      <c r="K340" s="343">
        <f t="shared" ca="1" si="103"/>
        <v>45.330769230769228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8">
        <f ca="1">IFERROR(__xludf.DUMMYFUNCTION("IMPORTRANGE(""https://docs.google.com/spreadsheets/d/1SX6NBoVAgQJ6U1MVXOaj8PK2l7WJ3RER9xtqwdhxkhw/edit?usp=sharing"",""ประจวบคีรีขันธ์!J236"")"),21)</f>
        <v>21</v>
      </c>
      <c r="K341" s="343">
        <f t="shared" ca="1" si="103"/>
        <v>15.555555555555555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8">
        <f ca="1">IFERROR(__xludf.DUMMYFUNCTION("IMPORTRANGE(""https://docs.google.com/spreadsheets/d/1SX6NBoVAgQJ6U1MVXOaj8PK2l7WJ3RER9xtqwdhxkhw/edit?usp=sharing"",""ประจวบคีรีขันธ์!J237"")"),228.56)</f>
        <v>228.56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8">
        <f ca="1">IFERROR(__xludf.DUMMYFUNCTION("IMPORTRANGE(""https://docs.google.com/spreadsheets/d/1SX6NBoVAgQJ6U1MVXOaj8PK2l7WJ3RER9xtqwdhxkhw/edit?usp=sharing"",""ประจวบคีรีขันธ์!J238"")"),1)</f>
        <v>1</v>
      </c>
      <c r="K343" s="343">
        <f t="shared" ca="1" si="103"/>
        <v>0.7407407407407407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8">
        <f ca="1">IFERROR(__xludf.DUMMYFUNCTION("IMPORTRANGE(""https://docs.google.com/spreadsheets/d/1SX6NBoVAgQJ6U1MVXOaj8PK2l7WJ3RER9xtqwdhxkhw/edit?usp=sharing"",""ประจวบคีรีขันธ์!J239"")"),6.69)</f>
        <v>6.69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8">
        <f ca="1">IFERROR(__xludf.DUMMYFUNCTION("IMPORTRANGE(""https://docs.google.com/spreadsheets/d/1SX6NBoVAgQJ6U1MVXOaj8PK2l7WJ3RER9xtqwdhxkhw/edit?usp=sharing"",""ประจวบคีรีขันธ์!J240"")"),38)</f>
        <v>38</v>
      </c>
      <c r="K345" s="343">
        <f t="shared" ca="1" si="103"/>
        <v>28.148148148148149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8">
        <f ca="1">IFERROR(__xludf.DUMMYFUNCTION("IMPORTRANGE(""https://docs.google.com/spreadsheets/d/1SX6NBoVAgQJ6U1MVXOaj8PK2l7WJ3RER9xtqwdhxkhw/edit?usp=sharing"",""ประจวบคีรีขันธ์!J241"")"),472.89)</f>
        <v>472.89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IFERROR(__xludf.DUMMYFUNCTION("IMPORTRANGE(""https://docs.google.com/spreadsheets/d/1SX6NBoVAgQJ6U1MVXOaj8PK2l7WJ3RER9xtqwdhxkhw/edit?usp=sharing"",""ประจวบคีรีขันธ์!L242"")"),1049779)</f>
        <v>1049779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IFERROR(__xludf.DUMMYFUNCTION("IMPORTRANGE(""https://docs.google.com/spreadsheets/d/1SX6NBoVAgQJ6U1MVXOaj8PK2l7WJ3RER9xtqwdhxkhw/edit?usp=sharing"",""ประจวบคีรีขันธ์!M242"")"),812967.57)</f>
        <v>812967.57</v>
      </c>
      <c r="O347" s="358">
        <f ca="1">+IF(L347&gt;0,N347*100/L347,0)</f>
        <v>77.441782508508936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4"/>
      <c r="N351" s="164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5"/>
      <c r="N352" s="164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69"/>
      <c r="N353" s="169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69"/>
      <c r="N354" s="16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4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8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8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4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IFERROR(__xludf.DUMMYFUNCTION("IMPORTRANGE(""https://docs.google.com/spreadsheets/d/1SX6NBoVAgQJ6U1MVXOaj8PK2l7WJ3RER9xtqwdhxkhw/edit?usp=sharing"",""ประจวบคีรีขันธ์!M275"")"),453285)</f>
        <v>453285</v>
      </c>
      <c r="O380" s="373">
        <f ca="1">+IF(L380&gt;0,N380*100/L380,0)</f>
        <v>98.510236015125827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4"/>
      <c r="N382" s="164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IFERROR(__xludf.DUMMYFUNCTION("IMPORTRANGE(""https://docs.google.com/spreadsheets/d/1SX6NBoVAgQJ6U1MVXOaj8PK2l7WJ3RER9xtqwdhxkhw/edit?usp=sharing"",""ประจวบคีรีขันธ์!M278"")"),453285)</f>
        <v>453285</v>
      </c>
      <c r="O383" s="165">
        <f t="shared" ca="1" si="109"/>
        <v>98.510236015125827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69"/>
      <c r="N384" s="169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IFERROR(__xludf.DUMMYFUNCTION("IMPORTRANGE(""https://docs.google.com/spreadsheets/d/1SX6NBoVAgQJ6U1MVXOaj8PK2l7WJ3RER9xtqwdhxkhw/edit?usp=sharing"",""ประจวบคีรีขันธ์!M280"")"),453285)</f>
        <v>453285</v>
      </c>
      <c r="O385" s="169">
        <f t="shared" ca="1" si="109"/>
        <v>98.510236015125827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IFERROR(__xludf.DUMMYFUNCTION("IMPORTRANGE(""https://docs.google.com/spreadsheets/d/1SX6NBoVAgQJ6U1MVXOaj8PK2l7WJ3RER9xtqwdhxkhw/edit?usp=sharing"",""ประจวบคีรีขันธ์!M284"")"),29785)</f>
        <v>29785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8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8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8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IFERROR(__xludf.DUMMYFUNCTION("IMPORTRANGE(""https://docs.google.com/spreadsheets/d/1SX6NBoVAgQJ6U1MVXOaj8PK2l7WJ3RER9xtqwdhxkhw/edit?usp=sharing"",""ประจวบคีรีขันธ์!M296"")"),95159)</f>
        <v>95159</v>
      </c>
      <c r="O401" s="373">
        <f ca="1">+IF(L401&gt;0,N401*100/L401,0)</f>
        <v>99.580368354960228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4"/>
      <c r="N403" s="169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5"/>
      <c r="N404" s="169">
        <f ca="1">IFERROR(__xludf.DUMMYFUNCTION("IMPORTRANGE(""https://docs.google.com/spreadsheets/d/1SX6NBoVAgQJ6U1MVXOaj8PK2l7WJ3RER9xtqwdhxkhw/edit?usp=sharing"",""ประจวบคีรีขันธ์!M299"")"),95159)</f>
        <v>95159</v>
      </c>
      <c r="O404" s="169">
        <f t="shared" ca="1" si="112"/>
        <v>99.580368354960228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69"/>
      <c r="N405" s="169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69"/>
      <c r="N406" s="169">
        <f ca="1">IFERROR(__xludf.DUMMYFUNCTION("IMPORTRANGE(""https://docs.google.com/spreadsheets/d/1SX6NBoVAgQJ6U1MVXOaj8PK2l7WJ3RER9xtqwdhxkhw/edit?usp=sharing"",""ประจวบคีรีขันธ์!M301"")"),95159)</f>
        <v>95159</v>
      </c>
      <c r="O406" s="169">
        <f t="shared" ca="1" si="112"/>
        <v>99.580368354960228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IFERROR(__xludf.DUMMYFUNCTION("IMPORTRANGE(""https://docs.google.com/spreadsheets/d/1SX6NBoVAgQJ6U1MVXOaj8PK2l7WJ3RER9xtqwdhxkhw/edit?usp=sharing"",""ประจวบคีรีขันธ์!M305"")"),22319)</f>
        <v>22319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IFERROR(__xludf.DUMMYFUNCTION("IMPORTRANGE(""https://docs.google.com/spreadsheets/d/1SX6NBoVAgQJ6U1MVXOaj8PK2l7WJ3RER9xtqwdhxkhw/edit?usp=sharing"",""ประจวบคีรีขันธ์!J310"")"),1)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1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IFERROR(__xludf.DUMMYFUNCTION("IMPORTRANGE(""https://docs.google.com/spreadsheets/d/1SX6NBoVAgQJ6U1MVXOaj8PK2l7WJ3RER9xtqwdhxkhw/edit?usp=sharing"",""ประจวบคีรีขันธ์!M330"")"),71985)</f>
        <v>71985</v>
      </c>
      <c r="O435" s="412">
        <f t="shared" ref="O435:O439" ca="1" si="114">+IF(L435&gt;0,N435*100/L435,0)</f>
        <v>94.71710526315789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4"/>
      <c r="N436" s="169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IFERROR(__xludf.DUMMYFUNCTION("IMPORTRANGE(""https://docs.google.com/spreadsheets/d/1SX6NBoVAgQJ6U1MVXOaj8PK2l7WJ3RER9xtqwdhxkhw/edit?usp=sharing"",""ประจวบคีรีขันธ์!M332"")"),71985)</f>
        <v>71985</v>
      </c>
      <c r="O437" s="169">
        <f t="shared" ca="1" si="114"/>
        <v>94.71710526315789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69"/>
      <c r="N438" s="169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IFERROR(__xludf.DUMMYFUNCTION("IMPORTRANGE(""https://docs.google.com/spreadsheets/d/1SX6NBoVAgQJ6U1MVXOaj8PK2l7WJ3RER9xtqwdhxkhw/edit?usp=sharing"",""ประจวบคีรีขันธ์!M334"")"),71985)</f>
        <v>71985</v>
      </c>
      <c r="O439" s="169">
        <f t="shared" ca="1" si="114"/>
        <v>94.71710526315789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IFERROR(__xludf.DUMMYFUNCTION("IMPORTRANGE(""https://docs.google.com/spreadsheets/d/1SX6NBoVAgQJ6U1MVXOaj8PK2l7WJ3RER9xtqwdhxkhw/edit?usp=sharing"",""ประจวบคีรีขันธ์!M335"")"),20200)</f>
        <v>20200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IFERROR(__xludf.DUMMYFUNCTION("IMPORTRANGE(""https://docs.google.com/spreadsheets/d/1SX6NBoVAgQJ6U1MVXOaj8PK2l7WJ3RER9xtqwdhxkhw/edit?usp=sharing"",""ประจวบคีรีขันธ์!M338"")"),51785)</f>
        <v>51785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IFERROR(__xludf.DUMMYFUNCTION("IMPORTRANGE(""https://docs.google.com/spreadsheets/d/1SX6NBoVAgQJ6U1MVXOaj8PK2l7WJ3RER9xtqwdhxkhw/edit?usp=sharing"",""ประจวบคีรีขันธ์!J343"")"),1)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1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89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IFERROR(__xludf.DUMMYFUNCTION("IMPORTRANGE(""https://docs.google.com/spreadsheets/d/1SX6NBoVAgQJ6U1MVXOaj8PK2l7WJ3RER9xtqwdhxkhw/edit?usp=sharing"",""ประจวบคีรีขันธ์!L350"")"),255269)</f>
        <v>255269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IFERROR(__xludf.DUMMYFUNCTION("IMPORTRANGE(""https://docs.google.com/spreadsheets/d/1SX6NBoVAgQJ6U1MVXOaj8PK2l7WJ3RER9xtqwdhxkhw/edit?usp=sharing"",""ประจวบคีรีขันธ์!M350"")"),76654)</f>
        <v>76654</v>
      </c>
      <c r="O455" s="373">
        <f t="shared" ref="O455:O459" ca="1" si="116">+IF(L455&gt;0,N455*100/L455,0)</f>
        <v>30.028714806733291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4"/>
      <c r="N456" s="169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IFERROR(__xludf.DUMMYFUNCTION("IMPORTRANGE(""https://docs.google.com/spreadsheets/d/1SX6NBoVAgQJ6U1MVXOaj8PK2l7WJ3RER9xtqwdhxkhw/edit?usp=sharing"",""ประจวบคีรีขันธ์!L352"")"),255269)</f>
        <v>255269</v>
      </c>
      <c r="M457" s="165"/>
      <c r="N457" s="169">
        <f ca="1">IFERROR(__xludf.DUMMYFUNCTION("IMPORTRANGE(""https://docs.google.com/spreadsheets/d/1SX6NBoVAgQJ6U1MVXOaj8PK2l7WJ3RER9xtqwdhxkhw/edit?usp=sharing"",""ประจวบคีรีขันธ์!M352"")"),76654)</f>
        <v>76654</v>
      </c>
      <c r="O457" s="169">
        <f t="shared" ca="1" si="116"/>
        <v>30.028714806733291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69"/>
      <c r="N458" s="169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IFERROR(__xludf.DUMMYFUNCTION("IMPORTRANGE(""https://docs.google.com/spreadsheets/d/1SX6NBoVAgQJ6U1MVXOaj8PK2l7WJ3RER9xtqwdhxkhw/edit?usp=sharing"",""ประจวบคีรีขันธ์!L354"")"),255269)</f>
        <v>255269</v>
      </c>
      <c r="M459" s="169"/>
      <c r="N459" s="169">
        <f ca="1">IFERROR(__xludf.DUMMYFUNCTION("IMPORTRANGE(""https://docs.google.com/spreadsheets/d/1SX6NBoVAgQJ6U1MVXOaj8PK2l7WJ3RER9xtqwdhxkhw/edit?usp=sharing"",""ประจวบคีรีขันธ์!M354"")"),76654)</f>
        <v>76654</v>
      </c>
      <c r="O459" s="169">
        <f t="shared" ca="1" si="116"/>
        <v>30.028714806733291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IFERROR(__xludf.DUMMYFUNCTION("IMPORTRANGE(""https://docs.google.com/spreadsheets/d/1SX6NBoVAgQJ6U1MVXOaj8PK2l7WJ3RER9xtqwdhxkhw/edit?usp=sharing"",""ประจวบคีรีขันธ์!M358"")"),76654)</f>
        <v>76654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8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89">
        <f ca="1">IFERROR(__xludf.DUMMYFUNCTION("IMPORTRANGE(""https://docs.google.com/spreadsheets/d/1SX6NBoVAgQJ6U1MVXOaj8PK2l7WJ3RER9xtqwdhxkhw/edit?usp=sharing"",""ประจวบคีรีขันธ์!J362"")"),14960)</f>
        <v>14960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89">
        <f ca="1">IFERROR(__xludf.DUMMYFUNCTION("IMPORTRANGE(""https://docs.google.com/spreadsheets/d/1SX6NBoVAgQJ6U1MVXOaj8PK2l7WJ3RER9xtqwdhxkhw/edit?usp=sharing"",""ประจวบคีรีขันธ์!J363"")"),1509)</f>
        <v>1509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89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89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89">
        <f ca="1">IFERROR(__xludf.DUMMYFUNCTION("IMPORTRANGE(""https://docs.google.com/spreadsheets/d/1SX6NBoVAgQJ6U1MVXOaj8PK2l7WJ3RER9xtqwdhxkhw/edit?usp=sharing"",""ประจวบคีรีขันธ์!J366"")"),334)</f>
        <v>334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89">
        <f ca="1">IFERROR(__xludf.DUMMYFUNCTION("IMPORTRANGE(""https://docs.google.com/spreadsheets/d/1SX6NBoVAgQJ6U1MVXOaj8PK2l7WJ3RER9xtqwdhxkhw/edit?usp=sharing"",""ประจวบคีรีขันธ์!J367"")"),45)</f>
        <v>45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IFERROR(__xludf.DUMMYFUNCTION("IMPORTRANGE(""https://docs.google.com/spreadsheets/d/1SX6NBoVAgQJ6U1MVXOaj8PK2l7WJ3RER9xtqwdhxkhw/edit?usp=sharing"",""ประจวบคีรีขันธ์!J368"")"),20755)</f>
        <v>20755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IFERROR(__xludf.DUMMYFUNCTION("IMPORTRANGE(""https://docs.google.com/spreadsheets/d/1SX6NBoVAgQJ6U1MVXOaj8PK2l7WJ3RER9xtqwdhxkhw/edit?usp=sharing"",""ประจวบคีรีขันธ์!J369"")"),2020)</f>
        <v>2020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89">
        <f ca="1">IFERROR(__xludf.DUMMYFUNCTION("IMPORTRANGE(""https://docs.google.com/spreadsheets/d/1SX6NBoVAgQJ6U1MVXOaj8PK2l7WJ3RER9xtqwdhxkhw/edit?usp=sharing"",""ประจวบคีรีขันธ์!J370"")"),14960)</f>
        <v>14960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89">
        <f ca="1">IFERROR(__xludf.DUMMYFUNCTION("IMPORTRANGE(""https://docs.google.com/spreadsheets/d/1SX6NBoVAgQJ6U1MVXOaj8PK2l7WJ3RER9xtqwdhxkhw/edit?usp=sharing"",""ประจวบคีรีขันธ์!J371"")"),1509)</f>
        <v>1509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89">
        <f ca="1">IFERROR(__xludf.DUMMYFUNCTION("IMPORTRANGE(""https://docs.google.com/spreadsheets/d/1SX6NBoVAgQJ6U1MVXOaj8PK2l7WJ3RER9xtqwdhxkhw/edit?usp=sharing"",""ประจวบคีรีขันธ์!J372"")"),5461)</f>
        <v>5461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89">
        <f ca="1">IFERROR(__xludf.DUMMYFUNCTION("IMPORTRANGE(""https://docs.google.com/spreadsheets/d/1SX6NBoVAgQJ6U1MVXOaj8PK2l7WJ3RER9xtqwdhxkhw/edit?usp=sharing"",""ประจวบคีรีขันธ์!J373"")"),466)</f>
        <v>466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89">
        <f ca="1">IFERROR(__xludf.DUMMYFUNCTION("IMPORTRANGE(""https://docs.google.com/spreadsheets/d/1SX6NBoVAgQJ6U1MVXOaj8PK2l7WJ3RER9xtqwdhxkhw/edit?usp=sharing"",""ประจวบคีรีขันธ์!J374"")"),334)</f>
        <v>334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89">
        <f ca="1">IFERROR(__xludf.DUMMYFUNCTION("IMPORTRANGE(""https://docs.google.com/spreadsheets/d/1SX6NBoVAgQJ6U1MVXOaj8PK2l7WJ3RER9xtqwdhxkhw/edit?usp=sharing"",""ประจวบคีรีขันธ์!J375"")"),45)</f>
        <v>45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89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89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89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89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89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89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8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8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8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2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2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89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8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8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8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8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8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2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2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8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8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8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8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8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8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8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5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5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5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5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8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8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8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8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8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IFERROR(__xludf.DUMMYFUNCTION("IMPORTRANGE(""https://docs.google.com/spreadsheets/d/1SX6NBoVAgQJ6U1MVXOaj8PK2l7WJ3RER9xtqwdhxkhw/edit?usp=sharing"",""ประจวบคีรีขันธ์!M428"")"),32770)</f>
        <v>32770</v>
      </c>
      <c r="O533" s="412">
        <f t="shared" ref="O533:O537" ca="1" si="118">+IF(L533&gt;0,N533*100/L533,0)</f>
        <v>95.4280722189866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4"/>
      <c r="N534" s="169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IFERROR(__xludf.DUMMYFUNCTION("IMPORTRANGE(""https://docs.google.com/spreadsheets/d/1SX6NBoVAgQJ6U1MVXOaj8PK2l7WJ3RER9xtqwdhxkhw/edit?usp=sharing"",""ประจวบคีรีขันธ์!M430"")"),32770)</f>
        <v>32770</v>
      </c>
      <c r="O535" s="169">
        <f t="shared" ca="1" si="118"/>
        <v>95.4280722189866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69"/>
      <c r="N536" s="169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IFERROR(__xludf.DUMMYFUNCTION("IMPORTRANGE(""https://docs.google.com/spreadsheets/d/1SX6NBoVAgQJ6U1MVXOaj8PK2l7WJ3RER9xtqwdhxkhw/edit?usp=sharing"",""ประจวบคีรีขันธ์!M432"")"),32770)</f>
        <v>32770</v>
      </c>
      <c r="O537" s="169">
        <f t="shared" ca="1" si="118"/>
        <v>95.4280722189866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IFERROR(__xludf.DUMMYFUNCTION("IMPORTRANGE(""https://docs.google.com/spreadsheets/d/1SX6NBoVAgQJ6U1MVXOaj8PK2l7WJ3RER9xtqwdhxkhw/edit?usp=sharing"",""ประจวบคีรีขันธ์!M436"")"),14030)</f>
        <v>14030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8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4"/>
      <c r="N552" s="169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5"/>
      <c r="N553" s="169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69"/>
      <c r="N554" s="169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69"/>
      <c r="N555" s="169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2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4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IFERROR(__xludf.DUMMYFUNCTION("IMPORTRANGE(""https://docs.google.com/spreadsheets/d/1SX6NBoVAgQJ6U1MVXOaj8PK2l7WJ3RER9xtqwdhxkhw/edit?usp=sharing"",""ประจวบคีรีขันธ์!J459"")"),1187)</f>
        <v>1187</v>
      </c>
      <c r="K564" s="372">
        <f ca="1">IF(I564&gt;0,J564*100/I564,0)</f>
        <v>169.57142857142858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IFERROR(__xludf.DUMMYFUNCTION("IMPORTRANGE(""https://docs.google.com/spreadsheets/d/1SX6NBoVAgQJ6U1MVXOaj8PK2l7WJ3RER9xtqwdhxkhw/edit?usp=sharing"",""ประจวบคีรีขันธ์!M459"")"),80184.57)</f>
        <v>80184.570000000007</v>
      </c>
      <c r="O564" s="373">
        <f t="shared" ref="O564:O568" ca="1" si="122">+IF(L564&gt;0,N564*100/L564,0)</f>
        <v>65.984669190256753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4"/>
      <c r="N565" s="169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5"/>
      <c r="N566" s="169">
        <f ca="1">IFERROR(__xludf.DUMMYFUNCTION("IMPORTRANGE(""https://docs.google.com/spreadsheets/d/1SX6NBoVAgQJ6U1MVXOaj8PK2l7WJ3RER9xtqwdhxkhw/edit?usp=sharing"",""ประจวบคีรีขันธ์!M461"")"),80184.57)</f>
        <v>80184.570000000007</v>
      </c>
      <c r="O566" s="169">
        <f t="shared" ca="1" si="122"/>
        <v>65.984669190256753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69"/>
      <c r="N567" s="169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69"/>
      <c r="N568" s="169">
        <f ca="1">IFERROR(__xludf.DUMMYFUNCTION("IMPORTRANGE(""https://docs.google.com/spreadsheets/d/1SX6NBoVAgQJ6U1MVXOaj8PK2l7WJ3RER9xtqwdhxkhw/edit?usp=sharing"",""ประจวบคีรีขันธ์!M463"")"),80184.57)</f>
        <v>80184.570000000007</v>
      </c>
      <c r="O568" s="169">
        <f t="shared" ca="1" si="122"/>
        <v>65.984669190256753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IFERROR(__xludf.DUMMYFUNCTION("IMPORTRANGE(""https://docs.google.com/spreadsheets/d/1SX6NBoVAgQJ6U1MVXOaj8PK2l7WJ3RER9xtqwdhxkhw/edit?usp=sharing"",""ประจวบคีรีขันธ์!M466"")"),70234.57)</f>
        <v>70234.570000000007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IFERROR(__xludf.DUMMYFUNCTION("IMPORTRANGE(""https://docs.google.com/spreadsheets/d/1SX6NBoVAgQJ6U1MVXOaj8PK2l7WJ3RER9xtqwdhxkhw/edit?usp=sharing"",""ประจวบคีรีขันธ์!M467"")"),9950)</f>
        <v>9950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IFERROR(__xludf.DUMMYFUNCTION("IMPORTRANGE(""https://docs.google.com/spreadsheets/d/1SX6NBoVAgQJ6U1MVXOaj8PK2l7WJ3RER9xtqwdhxkhw/edit?usp=sharing"",""ประจวบคีรีขันธ์!J468"")"),1187)</f>
        <v>1187</v>
      </c>
      <c r="K573" s="202">
        <f ca="1">IF(I573&gt;0,J573*100/I573,0)</f>
        <v>169.57142857142858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8">
        <f ca="1">IFERROR(__xludf.DUMMYFUNCTION("IMPORTRANGE(""https://docs.google.com/spreadsheets/d/1SX6NBoVAgQJ6U1MVXOaj8PK2l7WJ3RER9xtqwdhxkhw/edit?usp=sharing"",""ประจวบคีรีขันธ์!J470"")"),3)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8">
        <f ca="1">IFERROR(__xludf.DUMMYFUNCTION("IMPORTRANGE(""https://docs.google.com/spreadsheets/d/1SX6NBoVAgQJ6U1MVXOaj8PK2l7WJ3RER9xtqwdhxkhw/edit?usp=sharing"",""ประจวบคีรีขันธ์!J471"")"),105)</f>
        <v>105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89">
        <f ca="1">IFERROR(__xludf.DUMMYFUNCTION("IMPORTRANGE(""https://docs.google.com/spreadsheets/d/1SX6NBoVAgQJ6U1MVXOaj8PK2l7WJ3RER9xtqwdhxkhw/edit?usp=sharing"",""ประจวบคีรีขันธ์!J472"")"),1082)</f>
        <v>1082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8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8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IFERROR(__xludf.DUMMYFUNCTION("IMPORTRANGE(""https://docs.google.com/spreadsheets/d/1SX6NBoVAgQJ6U1MVXOaj8PK2l7WJ3RER9xtqwdhxkhw/edit?usp=sharing"",""ประจวบคีรีขันธ์!J475"")"),4)</f>
        <v>4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4"/>
      <c r="N581" s="169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5"/>
      <c r="N582" s="169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69"/>
      <c r="N583" s="169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69"/>
      <c r="N584" s="169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8">
        <f ca="1">IFERROR(__xludf.DUMMYFUNCTION("IMPORTRANGE(""https://docs.google.com/spreadsheets/d/1SX6NBoVAgQJ6U1MVXOaj8PK2l7WJ3RER9xtqwdhxkhw/edit?usp=sharing"",""ประจวบคีรีขันธ์!J484"")"),56)</f>
        <v>56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8">
        <f ca="1">IFERROR(__xludf.DUMMYFUNCTION("IMPORTRANGE(""https://docs.google.com/spreadsheets/d/1SX6NBoVAgQJ6U1MVXOaj8PK2l7WJ3RER9xtqwdhxkhw/edit?usp=sharing"",""ประจวบคีรีขันธ์!J485"")"),8.54)</f>
        <v>8.5399999999999991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8">
        <f ca="1">IFERROR(__xludf.DUMMYFUNCTION("IMPORTRANGE(""https://docs.google.com/spreadsheets/d/1SX6NBoVAgQJ6U1MVXOaj8PK2l7WJ3RER9xtqwdhxkhw/edit?usp=sharing"",""ประจวบคีรีขันธ์!J486"")"),61)</f>
        <v>61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8">
        <f ca="1">IFERROR(__xludf.DUMMYFUNCTION("IMPORTRANGE(""https://docs.google.com/spreadsheets/d/1SX6NBoVAgQJ6U1MVXOaj8PK2l7WJ3RER9xtqwdhxkhw/edit?usp=sharing"",""ประจวบคีรีขันธ์!J487"")"),9.57)</f>
        <v>9.57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8">
        <f ca="1">IFERROR(__xludf.DUMMYFUNCTION("IMPORTRANGE(""https://docs.google.com/spreadsheets/d/1SX6NBoVAgQJ6U1MVXOaj8PK2l7WJ3RER9xtqwdhxkhw/edit?usp=sharing"",""ประจวบคีรีขันธ์!J488"")"),1)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8">
        <f ca="1">IFERROR(__xludf.DUMMYFUNCTION("IMPORTRANGE(""https://docs.google.com/spreadsheets/d/1SX6NBoVAgQJ6U1MVXOaj8PK2l7WJ3RER9xtqwdhxkhw/edit?usp=sharing"",""ประจวบคีรีขันธ์!J489"")"),0.17)</f>
        <v>0.17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8">
        <f ca="1">IFERROR(__xludf.DUMMYFUNCTION("IMPORTRANGE(""https://docs.google.com/spreadsheets/d/1SX6NBoVAgQJ6U1MVXOaj8PK2l7WJ3RER9xtqwdhxkhw/edit?usp=sharing"",""ประจวบคีรีขันธ์!J490"")"),4)</f>
        <v>4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2">
        <f ca="1">IFERROR(__xludf.DUMMYFUNCTION("IMPORTRANGE(""https://docs.google.com/spreadsheets/d/1SX6NBoVAgQJ6U1MVXOaj8PK2l7WJ3RER9xtqwdhxkhw/edit?usp=sharing"",""ประจวบคีรีขันธ์!J491"")"),0.65)</f>
        <v>0.65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7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4"/>
      <c r="N598" s="169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5"/>
      <c r="N599" s="169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69">
        <f t="shared" ca="1" si="126"/>
        <v>42.158273381294961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69"/>
      <c r="N600" s="169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69"/>
      <c r="N601" s="169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69">
        <f t="shared" ca="1" si="126"/>
        <v>42.158273381294961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2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8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3">
        <f t="shared" ca="1" si="127"/>
        <v>30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8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3">
        <f t="shared" ca="1" si="127"/>
        <v>30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8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8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8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8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8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3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3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8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8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8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8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2">
        <f ca="1">IFERROR(__xludf.DUMMYFUNCTION("IMPORTRANGE(""https://docs.google.com/spreadsheets/d/1SX6NBoVAgQJ6U1MVXOaj8PK2l7WJ3RER9xtqwdhxkhw/edit?usp=sharing"",""ประจวบคีรีขันธ์!J523"")"),1669798.53)</f>
        <v>1669798.53</v>
      </c>
      <c r="K628" s="343">
        <f t="shared" ref="K628:K635" ca="1" si="129">IF(I628&gt;0,J628*100/I628,0)</f>
        <v>86.707054319857207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2">
        <f ca="1">IFERROR(__xludf.DUMMYFUNCTION("IMPORTRANGE(""https://docs.google.com/spreadsheets/d/1SX6NBoVAgQJ6U1MVXOaj8PK2l7WJ3RER9xtqwdhxkhw/edit?usp=sharing"",""ประจวบคีรีขันธ์!J524"")"),123)</f>
        <v>123</v>
      </c>
      <c r="K629" s="343">
        <f t="shared" ca="1" si="129"/>
        <v>84.827586206896555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2">
        <f ca="1">IFERROR(__xludf.DUMMYFUNCTION("IMPORTRANGE(""https://docs.google.com/spreadsheets/d/1SX6NBoVAgQJ6U1MVXOaj8PK2l7WJ3RER9xtqwdhxkhw/edit?usp=sharing"",""ประจวบคีรีขันธ์!J525"")"),91233.61)</f>
        <v>91233.61</v>
      </c>
      <c r="K630" s="343">
        <f t="shared" ca="1" si="129"/>
        <v>28.829833168360196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2">
        <f ca="1">IFERROR(__xludf.DUMMYFUNCTION("IMPORTRANGE(""https://docs.google.com/spreadsheets/d/1SX6NBoVAgQJ6U1MVXOaj8PK2l7WJ3RER9xtqwdhxkhw/edit?usp=sharing"",""ประจวบคีรีขันธ์!J526"")"),21)</f>
        <v>21</v>
      </c>
      <c r="K631" s="343">
        <f t="shared" ca="1" si="129"/>
        <v>95.454545454545453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2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2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2">
        <f ca="1">IFERROR(__xludf.DUMMYFUNCTION("IMPORTRANGE(""https://docs.google.com/spreadsheets/d/1SX6NBoVAgQJ6U1MVXOaj8PK2l7WJ3RER9xtqwdhxkhw/edit?usp=sharing"",""ประจวบคีรีขันธ์!J529"")"),1740000)</f>
        <v>1740000</v>
      </c>
      <c r="K634" s="343">
        <f t="shared" ca="1" si="129"/>
        <v>87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4">
        <f ca="1">IFERROR(__xludf.DUMMYFUNCTION("IMPORTRANGE(""https://docs.google.com/spreadsheets/d/1SX6NBoVAgQJ6U1MVXOaj8PK2l7WJ3RER9xtqwdhxkhw/edit?usp=sharing"",""ประจวบคีรีขันธ์!J530"")"),40)</f>
        <v>40</v>
      </c>
      <c r="K635" s="486">
        <f t="shared" ca="1" si="129"/>
        <v>88.888888888888886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IFERROR(__xludf.DUMMYFUNCTION("IMPORTRANGE(""https://docs.google.com/spreadsheets/d/1SX6NBoVAgQJ6U1MVXOaj8PK2l7WJ3RER9xtqwdhxkhw/edit#gid=346597447"",""ประจวบคีรีขันธ์!J541"")"),0)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IFERROR(__xludf.DUMMYFUNCTION("IMPORTRANGE(""https://docs.google.com/spreadsheets/d/1SX6NBoVAgQJ6U1MVXOaj8PK2l7WJ3RER9xtqwdhxkhw/edit#gid=346597447"",""ประจวบคีรีขันธ์!J542"")"),0)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IFERROR(__xludf.DUMMYFUNCTION("IMPORTRANGE(""https://docs.google.com/spreadsheets/d/1SX6NBoVAgQJ6U1MVXOaj8PK2l7WJ3RER9xtqwdhxkhw/edit#gid=346597447"",""ประจวบคีรีขันธ์!I543"")"),0)</f>
        <v>0</v>
      </c>
      <c r="J648" s="536">
        <f ca="1">IFERROR(__xludf.DUMMYFUNCTION("IMPORTRANGE(""https://docs.google.com/spreadsheets/d/1SX6NBoVAgQJ6U1MVXOaj8PK2l7WJ3RER9xtqwdhxkhw/edit#gid=346597447"",""ประจวบคีรีขันธ์!J543"")"),0)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IFERROR(__xludf.DUMMYFUNCTION("IMPORTRANGE(""https://docs.google.com/spreadsheets/d/1SX6NBoVAgQJ6U1MVXOaj8PK2l7WJ3RER9xtqwdhxkhw/edit#gid=346597447"",""ประจวบคีรีขันธ์!L543"")"),0)</f>
        <v>0</v>
      </c>
      <c r="M648" s="521"/>
      <c r="N648" s="538">
        <f ca="1">IFERROR(__xludf.DUMMYFUNCTION("IMPORTRANGE(""https://docs.google.com/spreadsheets/d/1SX6NBoVAgQJ6U1MVXOaj8PK2l7WJ3RER9xtqwdhxkhw/edit#gid=346597447"",""ประจวบคีรีขันธ์!M543"")"),0)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IFERROR(__xludf.DUMMYFUNCTION("IMPORTRANGE(""https://docs.google.com/spreadsheets/d/1SX6NBoVAgQJ6U1MVXOaj8PK2l7WJ3RER9xtqwdhxkhw/edit#gid=346597447"",""ประจวบคีรีขันธ์!I544"")"),0)</f>
        <v>0</v>
      </c>
      <c r="J649" s="536">
        <f ca="1">IFERROR(__xludf.DUMMYFUNCTION("IMPORTRANGE(""https://docs.google.com/spreadsheets/d/1SX6NBoVAgQJ6U1MVXOaj8PK2l7WJ3RER9xtqwdhxkhw/edit#gid=346597447"",""ประจวบคีรีขันธ์!J544"")"),0)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IFERROR(__xludf.DUMMYFUNCTION("IMPORTRANGE(""https://docs.google.com/spreadsheets/d/1SX6NBoVAgQJ6U1MVXOaj8PK2l7WJ3RER9xtqwdhxkhw/edit#gid=346597447"",""ประจวบคีรีขันธ์!L544"")"),0)</f>
        <v>0</v>
      </c>
      <c r="M649" s="521"/>
      <c r="N649" s="538">
        <f ca="1">IFERROR(__xludf.DUMMYFUNCTION("IMPORTRANGE(""https://docs.google.com/spreadsheets/d/1SX6NBoVAgQJ6U1MVXOaj8PK2l7WJ3RER9xtqwdhxkhw/edit#gid=346597447"",""ประจวบคีรีขันธ์!M544"")"),0)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IFERROR(__xludf.DUMMYFUNCTION("IMPORTRANGE(""https://docs.google.com/spreadsheets/d/1SX6NBoVAgQJ6U1MVXOaj8PK2l7WJ3RER9xtqwdhxkhw/edit#gid=346597447"",""ประจวบคีรีขันธ์!I545"")"),0)</f>
        <v>0</v>
      </c>
      <c r="J650" s="536">
        <f ca="1">IFERROR(__xludf.DUMMYFUNCTION("IMPORTRANGE(""https://docs.google.com/spreadsheets/d/1SX6NBoVAgQJ6U1MVXOaj8PK2l7WJ3RER9xtqwdhxkhw/edit#gid=346597447"",""ประจวบคีรีขันธ์!J545"")"),0)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IFERROR(__xludf.DUMMYFUNCTION("IMPORTRANGE(""https://docs.google.com/spreadsheets/d/1SX6NBoVAgQJ6U1MVXOaj8PK2l7WJ3RER9xtqwdhxkhw/edit#gid=346597447"",""ประจวบคีรีขันธ์!L545"")"),0)</f>
        <v>0</v>
      </c>
      <c r="M650" s="521"/>
      <c r="N650" s="538">
        <f ca="1">IFERROR(__xludf.DUMMYFUNCTION("IMPORTRANGE(""https://docs.google.com/spreadsheets/d/1SX6NBoVAgQJ6U1MVXOaj8PK2l7WJ3RER9xtqwdhxkhw/edit#gid=346597447"",""ประจวบคีรีขันธ์!M545"")"),0)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IFERROR(__xludf.DUMMYFUNCTION("IMPORTRANGE(""https://docs.google.com/spreadsheets/d/1SX6NBoVAgQJ6U1MVXOaj8PK2l7WJ3RER9xtqwdhxkhw/edit#gid=346597447"",""ประจวบคีรีขันธ์!I546"")"),0)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IFERROR(__xludf.DUMMYFUNCTION("IMPORTRANGE(""https://docs.google.com/spreadsheets/d/1SX6NBoVAgQJ6U1MVXOaj8PK2l7WJ3RER9xtqwdhxkhw/edit#gid=346597447"",""ประจวบคีรีขันธ์!L546"")"),0)</f>
        <v>0</v>
      </c>
      <c r="M651" s="521"/>
      <c r="N651" s="538">
        <f ca="1">IFERROR(__xludf.DUMMYFUNCTION("IMPORTRANGE(""https://docs.google.com/spreadsheets/d/1SX6NBoVAgQJ6U1MVXOaj8PK2l7WJ3RER9xtqwdhxkhw/edit#gid=346597447"",""ประจวบคีรีขันธ์!M546"")"),0)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IFERROR(__xludf.DUMMYFUNCTION("IMPORTRANGE(""https://docs.google.com/spreadsheets/d/1SX6NBoVAgQJ6U1MVXOaj8PK2l7WJ3RER9xtqwdhxkhw/edit#gid=346597447"",""ประจวบคีรีขันธ์!J547"")"),0)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IFERROR(__xludf.DUMMYFUNCTION("IMPORTRANGE(""https://docs.google.com/spreadsheets/d/1SX6NBoVAgQJ6U1MVXOaj8PK2l7WJ3RER9xtqwdhxkhw/edit#gid=346597447"",""ประจวบคีรีขันธ์!J548"")"),0)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IFERROR(__xludf.DUMMYFUNCTION("IMPORTRANGE(""https://docs.google.com/spreadsheets/d/1SX6NBoVAgQJ6U1MVXOaj8PK2l7WJ3RER9xtqwdhxkhw/edit#gid=346597447"",""ประจวบคีรีขันธ์!J550"")"),0)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IFERROR(__xludf.DUMMYFUNCTION("IMPORTRANGE(""https://docs.google.com/spreadsheets/d/1SX6NBoVAgQJ6U1MVXOaj8PK2l7WJ3RER9xtqwdhxkhw/edit#gid=346597447"",""ประจวบคีรีขันธ์!J551"")"),0)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IFERROR(__xludf.DUMMYFUNCTION("IMPORTRANGE(""https://docs.google.com/spreadsheets/d/1SX6NBoVAgQJ6U1MVXOaj8PK2l7WJ3RER9xtqwdhxkhw/edit#gid=346597447"",""ประจวบคีรีขันธ์!J552"")"),0)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IFERROR(__xludf.DUMMYFUNCTION("IMPORTRANGE(""https://docs.google.com/spreadsheets/d/1SX6NBoVAgQJ6U1MVXOaj8PK2l7WJ3RER9xtqwdhxkhw/edit#gid=346597447"",""ประจวบคีรีขันธ์!J553"")"),0)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IFERROR(__xludf.DUMMYFUNCTION("IMPORTRANGE(""https://docs.google.com/spreadsheets/d/1SX6NBoVAgQJ6U1MVXOaj8PK2l7WJ3RER9xtqwdhxkhw/edit#gid=346597447"",""ประจวบคีรีขันธ์!J554"")"),0)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IFERROR(__xludf.DUMMYFUNCTION("IMPORTRANGE(""https://docs.google.com/spreadsheets/d/1SX6NBoVAgQJ6U1MVXOaj8PK2l7WJ3RER9xtqwdhxkhw/edit#gid=346597447"",""ประจวบคีรีขันธ์!J555"")"),0)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IFERROR(__xludf.DUMMYFUNCTION("IMPORTRANGE(""https://docs.google.com/spreadsheets/d/1SX6NBoVAgQJ6U1MVXOaj8PK2l7WJ3RER9xtqwdhxkhw/edit#gid=346597447"",""ประจวบคีรีขันธ์!J556"")"),0)</f>
        <v>0</v>
      </c>
      <c r="K661" s="537"/>
      <c r="L661" s="522">
        <f ca="1">IFERROR(__xludf.DUMMYFUNCTION("IMPORTRANGE(""https://docs.google.com/spreadsheets/d/1SX6NBoVAgQJ6U1MVXOaj8PK2l7WJ3RER9xtqwdhxkhw/edit#gid=346597447"",""ประจวบคีรีขันธ์!L556"")"),0)</f>
        <v>0</v>
      </c>
      <c r="M661" s="521"/>
      <c r="N661" s="538">
        <f ca="1">IFERROR(__xludf.DUMMYFUNCTION("IMPORTRANGE(""https://docs.google.com/spreadsheets/d/1SX6NBoVAgQJ6U1MVXOaj8PK2l7WJ3RER9xtqwdhxkhw/edit#gid=346597447"",""ประจวบคีรีขันธ์!M556"")"),0)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IFERROR(__xludf.DUMMYFUNCTION("IMPORTRANGE(""https://docs.google.com/spreadsheets/d/1SX6NBoVAgQJ6U1MVXOaj8PK2l7WJ3RER9xtqwdhxkhw/edit#gid=346597447"",""ประจวบคีรีขันธ์!J557"")"),0)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IFERROR(__xludf.DUMMYFUNCTION("IMPORTRANGE(""https://docs.google.com/spreadsheets/d/1SX6NBoVAgQJ6U1MVXOaj8PK2l7WJ3RER9xtqwdhxkhw/edit#gid=346597447"",""ประจวบคีรีขันธ์!I558"")"),0)</f>
        <v>0</v>
      </c>
      <c r="J663" s="536">
        <f ca="1">IFERROR(__xludf.DUMMYFUNCTION("IMPORTRANGE(""https://docs.google.com/spreadsheets/d/1SX6NBoVAgQJ6U1MVXOaj8PK2l7WJ3RER9xtqwdhxkhw/edit#gid=346597447"",""ประจวบคีรีขันธ์!J558"")"),0)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IFERROR(__xludf.DUMMYFUNCTION("IMPORTRANGE(""https://docs.google.com/spreadsheets/d/1SX6NBoVAgQJ6U1MVXOaj8PK2l7WJ3RER9xtqwdhxkhw/edit#gid=346597447"",""ประจวบคีรีขันธ์!I560"")"),0)</f>
        <v>0</v>
      </c>
      <c r="J665" s="536">
        <f ca="1">IFERROR(__xludf.DUMMYFUNCTION("IMPORTRANGE(""https://docs.google.com/spreadsheets/d/1SX6NBoVAgQJ6U1MVXOaj8PK2l7WJ3RER9xtqwdhxkhw/edit#gid=346597447"",""ประจวบคีรีขันธ์!J560"")"),0)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IFERROR(__xludf.DUMMYFUNCTION("IMPORTRANGE(""https://docs.google.com/spreadsheets/d/1SX6NBoVAgQJ6U1MVXOaj8PK2l7WJ3RER9xtqwdhxkhw/edit#gid=346597447"",""ประจวบคีรีขันธ์!L560"")"),0)</f>
        <v>0</v>
      </c>
      <c r="M665" s="521"/>
      <c r="N665" s="538">
        <f ca="1">IFERROR(__xludf.DUMMYFUNCTION("IMPORTRANGE(""https://docs.google.com/spreadsheets/d/1SX6NBoVAgQJ6U1MVXOaj8PK2l7WJ3RER9xtqwdhxkhw/edit#gid=346597447"",""ประจวบคีรีขันธ์!M560"")"),0)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IFERROR(__xludf.DUMMYFUNCTION("IMPORTRANGE(""https://docs.google.com/spreadsheets/d/1SX6NBoVAgQJ6U1MVXOaj8PK2l7WJ3RER9xtqwdhxkhw/edit#gid=346597447"",""ประจวบคีรีขันธ์!J561"")"),0)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IFERROR(__xludf.DUMMYFUNCTION("IMPORTRANGE(""https://docs.google.com/spreadsheets/d/1SX6NBoVAgQJ6U1MVXOaj8PK2l7WJ3RER9xtqwdhxkhw/edit#gid=346597447"",""ประจวบคีรีขันธ์!J562"")"),0)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IFERROR(__xludf.DUMMYFUNCTION("IMPORTRANGE(""https://docs.google.com/spreadsheets/d/1SX6NBoVAgQJ6U1MVXOaj8PK2l7WJ3RER9xtqwdhxkhw/edit#gid=346597447"",""ประจวบคีรีขันธ์!I563"")"),0)</f>
        <v>0</v>
      </c>
      <c r="J668" s="536">
        <f ca="1">IFERROR(__xludf.DUMMYFUNCTION("IMPORTRANGE(""https://docs.google.com/spreadsheets/d/1SX6NBoVAgQJ6U1MVXOaj8PK2l7WJ3RER9xtqwdhxkhw/edit#gid=346597447"",""ประจวบคีรีขันธ์!J563"")"),0)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IFERROR(__xludf.DUMMYFUNCTION("IMPORTRANGE(""https://docs.google.com/spreadsheets/d/1SX6NBoVAgQJ6U1MVXOaj8PK2l7WJ3RER9xtqwdhxkhw/edit#gid=346597447"",""ประจวบคีรีขันธ์!L563"")"),0)</f>
        <v>0</v>
      </c>
      <c r="M668" s="521"/>
      <c r="N668" s="538">
        <f ca="1">IFERROR(__xludf.DUMMYFUNCTION("IMPORTRANGE(""https://docs.google.com/spreadsheets/d/1SX6NBoVAgQJ6U1MVXOaj8PK2l7WJ3RER9xtqwdhxkhw/edit#gid=346597447"",""ประจวบคีรีขันธ์!M563"")"),0)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IFERROR(__xludf.DUMMYFUNCTION("IMPORTRANGE(""https://docs.google.com/spreadsheets/d/1SX6NBoVAgQJ6U1MVXOaj8PK2l7WJ3RER9xtqwdhxkhw/edit#gid=346597447"",""ประจวบคีรีขันธ์!J564"")"),0)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IFERROR(__xludf.DUMMYFUNCTION("IMPORTRANGE(""https://docs.google.com/spreadsheets/d/1SX6NBoVAgQJ6U1MVXOaj8PK2l7WJ3RER9xtqwdhxkhw/edit#gid=346597447"",""ประจวบคีรีขันธ์!J565"")"),0)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IFERROR(__xludf.DUMMYFUNCTION("IMPORTRANGE(""https://docs.google.com/spreadsheets/d/1SX6NBoVAgQJ6U1MVXOaj8PK2l7WJ3RER9xtqwdhxkhw/edit#gid=346597447"",""ประจวบคีรีขันธ์!I566"")"),0)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IFERROR(__xludf.DUMMYFUNCTION("IMPORTRANGE(""https://docs.google.com/spreadsheets/d/1SX6NBoVAgQJ6U1MVXOaj8PK2l7WJ3RER9xtqwdhxkhw/edit#gid=346597447"",""ประจวบคีรีขันธ์!L566"")"),0)</f>
        <v>0</v>
      </c>
      <c r="M671" s="521"/>
      <c r="N671" s="538">
        <f ca="1">IFERROR(__xludf.DUMMYFUNCTION("IMPORTRANGE(""https://docs.google.com/spreadsheets/d/1SX6NBoVAgQJ6U1MVXOaj8PK2l7WJ3RER9xtqwdhxkhw/edit#gid=346597447"",""ประจวบคีรีขันธ์!M566"")"),0)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IFERROR(__xludf.DUMMYFUNCTION("IMPORTRANGE(""https://docs.google.com/spreadsheets/d/1SX6NBoVAgQJ6U1MVXOaj8PK2l7WJ3RER9xtqwdhxkhw/edit#gid=346597447"",""ประจวบคีรีขันธ์!J567"")"),0)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IFERROR(__xludf.DUMMYFUNCTION("IMPORTRANGE(""https://docs.google.com/spreadsheets/d/1SX6NBoVAgQJ6U1MVXOaj8PK2l7WJ3RER9xtqwdhxkhw/edit#gid=346597447"",""ประจวบคีรีขันธ์!J568"")"),0)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IFERROR(__xludf.DUMMYFUNCTION("IMPORTRANGE(""https://docs.google.com/spreadsheets/d/1SX6NBoVAgQJ6U1MVXOaj8PK2l7WJ3RER9xtqwdhxkhw/edit#gid=346597447"",""ประจวบคีรีขันธ์!J569"")"),0)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IFERROR(__xludf.DUMMYFUNCTION("IMPORTRANGE(""https://docs.google.com/spreadsheets/d/1SX6NBoVAgQJ6U1MVXOaj8PK2l7WJ3RER9xtqwdhxkhw/edit#gid=346597447"",""ประจวบคีรีขันธ์!J570"")"),0)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IFERROR(__xludf.DUMMYFUNCTION("IMPORTRANGE(""https://docs.google.com/spreadsheets/d/1SX6NBoVAgQJ6U1MVXOaj8PK2l7WJ3RER9xtqwdhxkhw/edit#gid=346597447"",""ประจวบคีรีขันธ์!J571"")"),0)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IFERROR(__xludf.DUMMYFUNCTION("IMPORTRANGE(""https://docs.google.com/spreadsheets/d/1SX6NBoVAgQJ6U1MVXOaj8PK2l7WJ3RER9xtqwdhxkhw/edit#gid=346597447"",""ประจวบคีรีขันธ์!J572"")"),0)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280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3219801</v>
      </c>
      <c r="M8" s="23">
        <f t="shared" ca="1" si="0"/>
        <v>1947765</v>
      </c>
      <c r="N8" s="23">
        <f t="shared" ca="1" si="0"/>
        <v>1905193.27</v>
      </c>
      <c r="O8" s="22">
        <f t="shared" ref="O8:O16" ca="1" si="1">IF(L8&gt;0,N8*100/L8,0)</f>
        <v>59.171149707699328</v>
      </c>
      <c r="P8" s="22">
        <f t="shared" ref="P8:P16" ca="1" si="2">IF(M8&gt;0,N8*100/M8,0)</f>
        <v>97.814329244030972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3219801</v>
      </c>
      <c r="M10" s="30">
        <f t="shared" ca="1" si="4"/>
        <v>1947765</v>
      </c>
      <c r="N10" s="30">
        <f t="shared" ca="1" si="4"/>
        <v>1905193.27</v>
      </c>
      <c r="O10" s="29">
        <f t="shared" ca="1" si="1"/>
        <v>59.171149707699328</v>
      </c>
      <c r="P10" s="29">
        <f t="shared" ca="1" si="2"/>
        <v>97.814329244030972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3127401</v>
      </c>
      <c r="M12" s="38">
        <f t="shared" ca="1" si="6"/>
        <v>1855365</v>
      </c>
      <c r="N12" s="38">
        <f t="shared" ca="1" si="6"/>
        <v>1812793.27</v>
      </c>
      <c r="O12" s="38">
        <f t="shared" ca="1" si="1"/>
        <v>57.964849087149361</v>
      </c>
      <c r="P12" s="38">
        <f t="shared" ca="1" si="2"/>
        <v>97.705479514812453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1458401</v>
      </c>
      <c r="M14" s="38">
        <f t="shared" si="8"/>
        <v>0</v>
      </c>
      <c r="N14" s="38">
        <f t="shared" ca="1" si="8"/>
        <v>400336</v>
      </c>
      <c r="O14" s="38">
        <f t="shared" ca="1" si="1"/>
        <v>27.450337732900621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2399775</v>
      </c>
      <c r="M18" s="23">
        <f t="shared" ca="1" si="11"/>
        <v>1947765</v>
      </c>
      <c r="N18" s="23">
        <f t="shared" ca="1" si="11"/>
        <v>1504857.27</v>
      </c>
      <c r="O18" s="22">
        <f t="shared" ref="O18:O20" ca="1" si="12">IF(L18&gt;0,N18*100/L18,0)</f>
        <v>62.708265149857802</v>
      </c>
      <c r="P18" s="22">
        <f t="shared" ref="P18:P26" ca="1" si="13">IF(M18&gt;0,N18*100/M18,0)</f>
        <v>77.260720364109631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2399775</v>
      </c>
      <c r="M20" s="30">
        <f t="shared" ca="1" si="15"/>
        <v>1947765</v>
      </c>
      <c r="N20" s="30">
        <f t="shared" ca="1" si="15"/>
        <v>1504857.27</v>
      </c>
      <c r="O20" s="29">
        <f t="shared" ca="1" si="12"/>
        <v>62.708265149857802</v>
      </c>
      <c r="P20" s="29">
        <f t="shared" ca="1" si="13"/>
        <v>77.260720364109631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2307375</v>
      </c>
      <c r="M22" s="41">
        <f t="shared" ca="1" si="18"/>
        <v>1855365</v>
      </c>
      <c r="N22" s="38">
        <f t="shared" ca="1" si="18"/>
        <v>1412457.27</v>
      </c>
      <c r="O22" s="38">
        <f t="shared" ca="1" si="17"/>
        <v>61.21489874857793</v>
      </c>
      <c r="P22" s="38">
        <f t="shared" ca="1" si="13"/>
        <v>76.128269639666584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638375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820026</v>
      </c>
      <c r="M28" s="23">
        <f t="shared" si="23"/>
        <v>0</v>
      </c>
      <c r="N28" s="23">
        <f t="shared" ca="1" si="23"/>
        <v>400336</v>
      </c>
      <c r="O28" s="22">
        <f t="shared" ref="O28:O30" ca="1" si="24">IF(L28&gt;0,N28*100/L28,0)</f>
        <v>48.819915466094976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820026</v>
      </c>
      <c r="M30" s="30">
        <f t="shared" si="27"/>
        <v>0</v>
      </c>
      <c r="N30" s="30">
        <f t="shared" ca="1" si="27"/>
        <v>400336</v>
      </c>
      <c r="O30" s="29">
        <f t="shared" ca="1" si="24"/>
        <v>48.819915466094976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820026</v>
      </c>
      <c r="M32" s="38">
        <f t="shared" si="30"/>
        <v>0</v>
      </c>
      <c r="N32" s="38">
        <f t="shared" ca="1" si="30"/>
        <v>400336</v>
      </c>
      <c r="O32" s="38">
        <f t="shared" ca="1" si="29"/>
        <v>48.819915466094976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820026</v>
      </c>
      <c r="M34" s="38">
        <f t="shared" si="32"/>
        <v>0</v>
      </c>
      <c r="N34" s="38">
        <f t="shared" ca="1" si="32"/>
        <v>400336</v>
      </c>
      <c r="O34" s="38">
        <f t="shared" ca="1" si="29"/>
        <v>48.819915466094976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2399775</v>
      </c>
      <c r="M37" s="54">
        <f t="shared" ca="1" si="33"/>
        <v>1947765</v>
      </c>
      <c r="N37" s="54">
        <f t="shared" ca="1" si="33"/>
        <v>1504857.27</v>
      </c>
      <c r="O37" s="55">
        <f t="shared" ca="1" si="29"/>
        <v>62.708265149857802</v>
      </c>
      <c r="P37" s="55">
        <f t="shared" ca="1" si="25"/>
        <v>77.260720364109631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253100</v>
      </c>
      <c r="N41" s="78">
        <f t="shared" ca="1" si="34"/>
        <v>193207.57</v>
      </c>
      <c r="O41" s="77">
        <f t="shared" ref="O41:O43" ca="1" si="35">IF(L41&gt;0,N41*100/L41,0)</f>
        <v>58.406157799274489</v>
      </c>
      <c r="P41" s="77">
        <f t="shared" ref="P41:P43" ca="1" si="36">IF(M41&gt;0,N41*100/M41,0)</f>
        <v>76.336455946266298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253100</v>
      </c>
      <c r="N43" s="78">
        <f t="shared" ca="1" si="38"/>
        <v>193207.57</v>
      </c>
      <c r="O43" s="77">
        <f t="shared" ca="1" si="35"/>
        <v>58.406157799274489</v>
      </c>
      <c r="P43" s="77">
        <f t="shared" ca="1" si="36"/>
        <v>76.336455946266298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IFERROR(__xludf.DUMMYFUNCTION("IMPORTRANGE(""https://docs.google.com/spreadsheets/d/1Yj_ptqi66GCucihVvJfMjLAmec39IyEx_6qawtMGysU/edit?usp=sharing"",""สบก!Q69"")"),253100)</f>
        <v>253100</v>
      </c>
      <c r="N45" s="49">
        <f ca="1">IFERROR(__xludf.DUMMYFUNCTION("IMPORTRANGE(""https://docs.google.com/spreadsheets/d/1Yj_ptqi66GCucihVvJfMjLAmec39IyEx_6qawtMGysU/edit?usp=sharing"",""สบก!R69"")"),193207.57)</f>
        <v>193207.57</v>
      </c>
      <c r="O45" s="38">
        <f ca="1">IF(L45&gt;0,N45*100/L45,0)</f>
        <v>58.406157799274489</v>
      </c>
      <c r="P45" s="38">
        <f ca="1">IF(M45&gt;0,N45*100/M45,0)</f>
        <v>76.336455946266298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IFERROR(__xludf.DUMMYFUNCTION("IMPORTRANGE(""https://docs.google.com/spreadsheets/d/1Yj_ptqi66GCucihVvJfMjLAmec39IyEx_6qawtMGysU/edit?usp=sharing"",""สบก!M69"")"),330800)</f>
        <v>330800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344730</v>
      </c>
      <c r="N53" s="121">
        <f t="shared" ca="1" si="39"/>
        <v>221560</v>
      </c>
      <c r="O53" s="120">
        <f t="shared" ref="O53:O55" ca="1" si="40">IF(L53&gt;0,N53*100/L53,0)</f>
        <v>49.235555555555557</v>
      </c>
      <c r="P53" s="120">
        <f t="shared" ref="P53:P55" ca="1" si="41">IF(M53&gt;0,N53*100/M53,0)</f>
        <v>64.270588576567164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344730</v>
      </c>
      <c r="N55" s="121">
        <f t="shared" ca="1" si="43"/>
        <v>221560</v>
      </c>
      <c r="O55" s="120">
        <f t="shared" ca="1" si="40"/>
        <v>49.235555555555557</v>
      </c>
      <c r="P55" s="120">
        <f t="shared" ca="1" si="41"/>
        <v>64.270588576567164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IFERROR(__xludf.DUMMYFUNCTION("IMPORTRANGE(""https://docs.google.com/spreadsheets/d/1Yj_ptqi66GCucihVvJfMjLAmec39IyEx_6qawtMGysU/edit?usp=sharing"",""สบก!Z69"")"),344730)</f>
        <v>344730</v>
      </c>
      <c r="N57" s="49">
        <f ca="1">IFERROR(__xludf.DUMMYFUNCTION("IMPORTRANGE(""https://docs.google.com/spreadsheets/d/1Yj_ptqi66GCucihVvJfMjLAmec39IyEx_6qawtMGysU/edit?usp=sharing"",""สบก!AA69"")"),221560)</f>
        <v>221560</v>
      </c>
      <c r="O57" s="38">
        <f ca="1">IF(L57&gt;0,N57*100/L57,0)</f>
        <v>49.235555555555557</v>
      </c>
      <c r="P57" s="38">
        <f ca="1">IF(M57&gt;0,N57*100/M57,0)</f>
        <v>64.270588576567164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IFERROR(__xludf.DUMMYFUNCTION("IMPORTRANGE(""https://docs.google.com/spreadsheets/d/1Yj_ptqi66GCucihVvJfMjLAmec39IyEx_6qawtMGysU/edit?usp=sharing"",""สบก!AI69"")"),0)</f>
        <v>0</v>
      </c>
      <c r="N70" s="169">
        <f ca="1">IFERROR(__xludf.DUMMYFUNCTION("IMPORTRANGE(""https://docs.google.com/spreadsheets/d/1Yj_ptqi66GCucihVvJfMjLAmec39IyEx_6qawtMGysU/edit?usp=sharing"",""สบก!AJ69"")"),0)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IFERROR(__xludf.DUMMYFUNCTION("IMPORTRANGE(""https://docs.google.com/spreadsheets/d/1SX6NBoVAgQJ6U1MVXOaj8PK2l7WJ3RER9xtqwdhxkhw/edit?usp=sharing"",""ปราจีนบุรี!J16"")"),0)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IFERROR(__xludf.DUMMYFUNCTION("IMPORTRANGE(""https://docs.google.com/spreadsheets/d/1SX6NBoVAgQJ6U1MVXOaj8PK2l7WJ3RER9xtqwdhxkhw/edit?usp=sharing"",""ปราจีนบุรี!J17"")"),0)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IFERROR(__xludf.DUMMYFUNCTION("IMPORTRANGE(""https://docs.google.com/spreadsheets/d/1SX6NBoVAgQJ6U1MVXOaj8PK2l7WJ3RER9xtqwdhxkhw/edit?usp=sharing"",""ปราจีนบุรี!J18"")"),0)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IFERROR(__xludf.DUMMYFUNCTION("IMPORTRANGE(""https://docs.google.com/spreadsheets/d/1SX6NBoVAgQJ6U1MVXOaj8PK2l7WJ3RER9xtqwdhxkhw/edit?usp=sharing"",""ปราจีนบุรี!J19"")"),0)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IFERROR(__xludf.DUMMYFUNCTION("IMPORTRANGE(""https://docs.google.com/spreadsheets/d/1SX6NBoVAgQJ6U1MVXOaj8PK2l7WJ3RER9xtqwdhxkhw/edit?usp=sharing"",""ปราจีนบุรี!I20"")"),0)</f>
        <v>0</v>
      </c>
      <c r="J80" s="201">
        <f ca="1">IFERROR(__xludf.DUMMYFUNCTION("IMPORTRANGE(""https://docs.google.com/spreadsheets/d/1SX6NBoVAgQJ6U1MVXOaj8PK2l7WJ3RER9xtqwdhxkhw/edit?usp=sharing"",""ปราจีนบุรี!J20"")"),0)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IFERROR(__xludf.DUMMYFUNCTION("IMPORTRANGE(""https://docs.google.com/spreadsheets/d/1SX6NBoVAgQJ6U1MVXOaj8PK2l7WJ3RER9xtqwdhxkhw/edit?usp=sharing"",""ปราจีนบุรี!I21"")"),0)</f>
        <v>0</v>
      </c>
      <c r="J81" s="201">
        <f ca="1">IFERROR(__xludf.DUMMYFUNCTION("IMPORTRANGE(""https://docs.google.com/spreadsheets/d/1SX6NBoVAgQJ6U1MVXOaj8PK2l7WJ3RER9xtqwdhxkhw/edit?usp=sharing"",""ปราจีนบุรี!J21"")"),0)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IFERROR(__xludf.DUMMYFUNCTION("IMPORTRANGE(""https://docs.google.com/spreadsheets/d/1SX6NBoVAgQJ6U1MVXOaj8PK2l7WJ3RER9xtqwdhxkhw/edit?usp=sharing"",""ปราจีนบุรี!I22"")"),0)</f>
        <v>0</v>
      </c>
      <c r="J82" s="204">
        <f ca="1">IFERROR(__xludf.DUMMYFUNCTION("IMPORTRANGE(""https://docs.google.com/spreadsheets/d/1SX6NBoVAgQJ6U1MVXOaj8PK2l7WJ3RER9xtqwdhxkhw/edit?usp=sharing"",""ปราจีนบุรี!J22"")"),0)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IFERROR(__xludf.DUMMYFUNCTION("IMPORTRANGE(""https://docs.google.com/spreadsheets/d/1SX6NBoVAgQJ6U1MVXOaj8PK2l7WJ3RER9xtqwdhxkhw/edit?usp=sharing"",""ปราจีนบุรี!I23"")"),0)</f>
        <v>0</v>
      </c>
      <c r="J83" s="204">
        <f ca="1">IFERROR(__xludf.DUMMYFUNCTION("IMPORTRANGE(""https://docs.google.com/spreadsheets/d/1SX6NBoVAgQJ6U1MVXOaj8PK2l7WJ3RER9xtqwdhxkhw/edit?usp=sharing"",""ปราจีนบุรี!J23"")"),0)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IFERROR(__xludf.DUMMYFUNCTION("IMPORTRANGE(""https://docs.google.com/spreadsheets/d/1SX6NBoVAgQJ6U1MVXOaj8PK2l7WJ3RER9xtqwdhxkhw/edit?usp=sharing"",""ปราจีนบุรี!I24"")"),0)</f>
        <v>0</v>
      </c>
      <c r="J84" s="189">
        <f ca="1">IFERROR(__xludf.DUMMYFUNCTION("IMPORTRANGE(""https://docs.google.com/spreadsheets/d/1SX6NBoVAgQJ6U1MVXOaj8PK2l7WJ3RER9xtqwdhxkhw/edit?usp=sharing"",""ปราจีนบุรี!J24"")"),0)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IFERROR(__xludf.DUMMYFUNCTION("IMPORTRANGE(""https://docs.google.com/spreadsheets/d/1SX6NBoVAgQJ6U1MVXOaj8PK2l7WJ3RER9xtqwdhxkhw/edit?usp=sharing"",""ปราจีนบุรี!I25"")"),0)</f>
        <v>0</v>
      </c>
      <c r="J85" s="189">
        <f ca="1">IFERROR(__xludf.DUMMYFUNCTION("IMPORTRANGE(""https://docs.google.com/spreadsheets/d/1SX6NBoVAgQJ6U1MVXOaj8PK2l7WJ3RER9xtqwdhxkhw/edit?usp=sharing"",""ปราจีนบุรี!J25"")"),0)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IFERROR(__xludf.DUMMYFUNCTION("IMPORTRANGE(""https://docs.google.com/spreadsheets/d/1SX6NBoVAgQJ6U1MVXOaj8PK2l7WJ3RER9xtqwdhxkhw/edit?usp=sharing"",""ปราจีนบุรี!I26"")"),0)</f>
        <v>0</v>
      </c>
      <c r="J86" s="204">
        <f ca="1">IFERROR(__xludf.DUMMYFUNCTION("IMPORTRANGE(""https://docs.google.com/spreadsheets/d/1SX6NBoVAgQJ6U1MVXOaj8PK2l7WJ3RER9xtqwdhxkhw/edit?usp=sharing"",""ปราจีนบุรี!J26"")"),0)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IFERROR(__xludf.DUMMYFUNCTION("IMPORTRANGE(""https://docs.google.com/spreadsheets/d/1SX6NBoVAgQJ6U1MVXOaj8PK2l7WJ3RER9xtqwdhxkhw/edit?usp=sharing"",""ปราจีนบุรี!I27"")"),0)</f>
        <v>0</v>
      </c>
      <c r="J87" s="204">
        <f ca="1">IFERROR(__xludf.DUMMYFUNCTION("IMPORTRANGE(""https://docs.google.com/spreadsheets/d/1SX6NBoVAgQJ6U1MVXOaj8PK2l7WJ3RER9xtqwdhxkhw/edit?usp=sharing"",""ปราจีนบุรี!J27"")"),0)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IFERROR(__xludf.DUMMYFUNCTION("IMPORTRANGE(""https://docs.google.com/spreadsheets/d/1SX6NBoVAgQJ6U1MVXOaj8PK2l7WJ3RER9xtqwdhxkhw/edit?usp=sharing"",""ปราจีนบุรี!I28"")"),0)</f>
        <v>0</v>
      </c>
      <c r="J88" s="204">
        <f ca="1">IFERROR(__xludf.DUMMYFUNCTION("IMPORTRANGE(""https://docs.google.com/spreadsheets/d/1SX6NBoVAgQJ6U1MVXOaj8PK2l7WJ3RER9xtqwdhxkhw/edit?usp=sharing"",""ปราจีนบุรี!J28"")"),0)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IFERROR(__xludf.DUMMYFUNCTION("IMPORTRANGE(""https://docs.google.com/spreadsheets/d/1SX6NBoVAgQJ6U1MVXOaj8PK2l7WJ3RER9xtqwdhxkhw/edit?usp=sharing"",""ปราจีนบุรี!J29"")"),0)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IFERROR(__xludf.DUMMYFUNCTION("IMPORTRANGE(""https://docs.google.com/spreadsheets/d/1SX6NBoVAgQJ6U1MVXOaj8PK2l7WJ3RER9xtqwdhxkhw/edit?usp=sharing"",""ปราจีนบุรี!J30"")"),0)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192000</v>
      </c>
      <c r="O94" s="151">
        <f t="shared" ref="O94:O96" ca="1" si="53">IF(L94&gt;0,N94*100/L94,0)</f>
        <v>89.510489510489506</v>
      </c>
      <c r="P94" s="151">
        <f t="shared" ref="P94:P96" ca="1" si="54">IF(M94&gt;0,N94*100/M94,0)</f>
        <v>98.737497107299887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192000</v>
      </c>
      <c r="O96" s="156">
        <f t="shared" ca="1" si="53"/>
        <v>89.510489510489506</v>
      </c>
      <c r="P96" s="156">
        <f t="shared" ca="1" si="54"/>
        <v>98.737497107299887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IFERROR(__xludf.DUMMYFUNCTION("IMPORTRANGE(""https://docs.google.com/spreadsheets/d/1Yj_ptqi66GCucihVvJfMjLAmec39IyEx_6qawtMGysU/edit?usp=sharing"",""สบก!AR69"")"),102055)</f>
        <v>102055</v>
      </c>
      <c r="N98" s="169">
        <f ca="1">IFERROR(__xludf.DUMMYFUNCTION("IMPORTRANGE(""https://docs.google.com/spreadsheets/d/1Yj_ptqi66GCucihVvJfMjLAmec39IyEx_6qawtMGysU/edit?usp=sharing"",""สบก!AS69"")"),99600)</f>
        <v>99600</v>
      </c>
      <c r="O98" s="169">
        <f ca="1">IF(L98&gt;0,N98*100/L98,0)</f>
        <v>81.572481572481578</v>
      </c>
      <c r="P98" s="169">
        <f ca="1">IF(M98&gt;0,N98*100/M98,0)</f>
        <v>97.594434373622065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IFERROR(__xludf.DUMMYFUNCTION("IMPORTRANGE(""https://docs.google.com/spreadsheets/d/1Yj_ptqi66GCucihVvJfMjLAmec39IyEx_6qawtMGysU/edit?usp=sharing"",""สบก!AO69"")"),122100)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IFERROR(__xludf.DUMMYFUNCTION("IMPORTRANGE(""https://docs.google.com/spreadsheets/d/1SX6NBoVAgQJ6U1MVXOaj8PK2l7WJ3RER9xtqwdhxkhw/edit?usp=sharing"",""ปราจีนบุรี!J39"")"),0)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IFERROR(__xludf.DUMMYFUNCTION("IMPORTRANGE(""https://docs.google.com/spreadsheets/d/1SX6NBoVAgQJ6U1MVXOaj8PK2l7WJ3RER9xtqwdhxkhw/edit?usp=sharing"",""ปราจีนบุรี!J40"")"),1)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IFERROR(__xludf.DUMMYFUNCTION("IMPORTRANGE(""https://docs.google.com/spreadsheets/d/1SX6NBoVAgQJ6U1MVXOaj8PK2l7WJ3RER9xtqwdhxkhw/edit?usp=sharing"",""ปราจีนบุรี!J41"")"),1)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IFERROR(__xludf.DUMMYFUNCTION("IMPORTRANGE(""https://docs.google.com/spreadsheets/d/1SX6NBoVAgQJ6U1MVXOaj8PK2l7WJ3RER9xtqwdhxkhw/edit?usp=sharing"",""ปราจีนบุรี!J42"")"),1)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IFERROR(__xludf.DUMMYFUNCTION("IMPORTRANGE(""https://docs.google.com/spreadsheets/d/1SX6NBoVAgQJ6U1MVXOaj8PK2l7WJ3RER9xtqwdhxkhw/edit?usp=sharing"",""ปราจีนบุรี!I43"")"),1)</f>
        <v>1</v>
      </c>
      <c r="J108" s="204">
        <f ca="1">IFERROR(__xludf.DUMMYFUNCTION("IMPORTRANGE(""https://docs.google.com/spreadsheets/d/1SX6NBoVAgQJ6U1MVXOaj8PK2l7WJ3RER9xtqwdhxkhw/edit?usp=sharing"",""ปราจีนบุรี!J43"")"),1)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IFERROR(__xludf.DUMMYFUNCTION("IMPORTRANGE(""https://docs.google.com/spreadsheets/d/1SX6NBoVAgQJ6U1MVXOaj8PK2l7WJ3RER9xtqwdhxkhw/edit?usp=sharing"",""ปราจีนบุรี!I44"")"),4)</f>
        <v>4</v>
      </c>
      <c r="J109" s="204">
        <f ca="1">IFERROR(__xludf.DUMMYFUNCTION("IMPORTRANGE(""https://docs.google.com/spreadsheets/d/1SX6NBoVAgQJ6U1MVXOaj8PK2l7WJ3RER9xtqwdhxkhw/edit?usp=sharing"",""ปราจีนบุรี!J44"")"),4)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IFERROR(__xludf.DUMMYFUNCTION("IMPORTRANGE(""https://docs.google.com/spreadsheets/d/1SX6NBoVAgQJ6U1MVXOaj8PK2l7WJ3RER9xtqwdhxkhw/edit?usp=sharing"",""ปราจีนบุรี!I45"")"),4)</f>
        <v>4</v>
      </c>
      <c r="J110" s="204">
        <f ca="1">IFERROR(__xludf.DUMMYFUNCTION("IMPORTRANGE(""https://docs.google.com/spreadsheets/d/1SX6NBoVAgQJ6U1MVXOaj8PK2l7WJ3RER9xtqwdhxkhw/edit?usp=sharing"",""ปราจีนบุรี!J45"")"),4)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IFERROR(__xludf.DUMMYFUNCTION("IMPORTRANGE(""https://docs.google.com/spreadsheets/d/1SX6NBoVAgQJ6U1MVXOaj8PK2l7WJ3RER9xtqwdhxkhw/edit?usp=sharing"",""ปราจีนบุรี!I46"")"),4)</f>
        <v>4</v>
      </c>
      <c r="J111" s="204">
        <f ca="1">IFERROR(__xludf.DUMMYFUNCTION("IMPORTRANGE(""https://docs.google.com/spreadsheets/d/1SX6NBoVAgQJ6U1MVXOaj8PK2l7WJ3RER9xtqwdhxkhw/edit?usp=sharing"",""ปราจีนบุรี!J46"")"),4)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IFERROR(__xludf.DUMMYFUNCTION("IMPORTRANGE(""https://docs.google.com/spreadsheets/d/1SX6NBoVAgQJ6U1MVXOaj8PK2l7WJ3RER9xtqwdhxkhw/edit?usp=sharing"",""ปราจีนบุรี!I47"")"),4)</f>
        <v>4</v>
      </c>
      <c r="J112" s="204">
        <f ca="1">IFERROR(__xludf.DUMMYFUNCTION("IMPORTRANGE(""https://docs.google.com/spreadsheets/d/1SX6NBoVAgQJ6U1MVXOaj8PK2l7WJ3RER9xtqwdhxkhw/edit?usp=sharing"",""ปราจีนบุรี!J47"")"),4)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IFERROR(__xludf.DUMMYFUNCTION("IMPORTRANGE(""https://docs.google.com/spreadsheets/d/1SX6NBoVAgQJ6U1MVXOaj8PK2l7WJ3RER9xtqwdhxkhw/edit?usp=sharing"",""ปราจีนบุรี!I48"")"),1)</f>
        <v>1</v>
      </c>
      <c r="J113" s="204">
        <f ca="1">IFERROR(__xludf.DUMMYFUNCTION("IMPORTRANGE(""https://docs.google.com/spreadsheets/d/1SX6NBoVAgQJ6U1MVXOaj8PK2l7WJ3RER9xtqwdhxkhw/edit?usp=sharing"",""ปราจีนบุรี!J48"")"),1)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IFERROR(__xludf.DUMMYFUNCTION("IMPORTRANGE(""https://docs.google.com/spreadsheets/d/1SX6NBoVAgQJ6U1MVXOaj8PK2l7WJ3RER9xtqwdhxkhw/edit?usp=sharing"",""ปราจีนบุรี!J49"")"),0)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IFERROR(__xludf.DUMMYFUNCTION("IMPORTRANGE(""https://docs.google.com/spreadsheets/d/1SX6NBoVAgQJ6U1MVXOaj8PK2l7WJ3RER9xtqwdhxkhw/edit?usp=sharing"",""ปราจีนบุรี!J50"")"),0)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IFERROR(__xludf.DUMMYFUNCTION("IMPORTRANGE(""https://docs.google.com/spreadsheets/d/1Yj_ptqi66GCucihVvJfMjLAmec39IyEx_6qawtMGysU/edit?usp=sharing"",""สบก!BA69"")"),0)</f>
        <v>0</v>
      </c>
      <c r="N122" s="169">
        <f ca="1">IFERROR(__xludf.DUMMYFUNCTION("IMPORTRANGE(""https://docs.google.com/spreadsheets/d/1Yj_ptqi66GCucihVvJfMjLAmec39IyEx_6qawtMGysU/edit?usp=sharing"",""สบก!BB69"")"),0)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IFERROR(__xludf.DUMMYFUNCTION("IMPORTRANGE(""https://docs.google.com/spreadsheets/d/1SX6NBoVAgQJ6U1MVXOaj8PK2l7WJ3RER9xtqwdhxkhw/edit?usp=sharing"",""ปราจีนบุรี!J58"")"),0)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IFERROR(__xludf.DUMMYFUNCTION("IMPORTRANGE(""https://docs.google.com/spreadsheets/d/1SX6NBoVAgQJ6U1MVXOaj8PK2l7WJ3RER9xtqwdhxkhw/edit?usp=sharing"",""ปราจีนบุรี!J59"")"),0)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IFERROR(__xludf.DUMMYFUNCTION("IMPORTRANGE(""https://docs.google.com/spreadsheets/d/1SX6NBoVAgQJ6U1MVXOaj8PK2l7WJ3RER9xtqwdhxkhw/edit?usp=sharing"",""ปราจีนบุรี!J60"")"),0)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IFERROR(__xludf.DUMMYFUNCTION("IMPORTRANGE(""https://docs.google.com/spreadsheets/d/1SX6NBoVAgQJ6U1MVXOaj8PK2l7WJ3RER9xtqwdhxkhw/edit?usp=sharing"",""ปราจีนบุรี!J61"")"),0)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IFERROR(__xludf.DUMMYFUNCTION("IMPORTRANGE(""https://docs.google.com/spreadsheets/d/1SX6NBoVAgQJ6U1MVXOaj8PK2l7WJ3RER9xtqwdhxkhw/edit?usp=sharing"",""ปราจีนบุรี!I62"")"),0)</f>
        <v>0</v>
      </c>
      <c r="J132" s="204">
        <f ca="1">IFERROR(__xludf.DUMMYFUNCTION("IMPORTRANGE(""https://docs.google.com/spreadsheets/d/1SX6NBoVAgQJ6U1MVXOaj8PK2l7WJ3RER9xtqwdhxkhw/edit?usp=sharing"",""ปราจีนบุรี!J62"")"),0)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IFERROR(__xludf.DUMMYFUNCTION("IMPORTRANGE(""https://docs.google.com/spreadsheets/d/1SX6NBoVAgQJ6U1MVXOaj8PK2l7WJ3RER9xtqwdhxkhw/edit?usp=sharing"",""ปราจีนบุรี!I63"")"),0)</f>
        <v>0</v>
      </c>
      <c r="J133" s="204">
        <f ca="1">IFERROR(__xludf.DUMMYFUNCTION("IMPORTRANGE(""https://docs.google.com/spreadsheets/d/1SX6NBoVAgQJ6U1MVXOaj8PK2l7WJ3RER9xtqwdhxkhw/edit?usp=sharing"",""ปราจีนบุรี!J63"")"),0)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IFERROR(__xludf.DUMMYFUNCTION("IMPORTRANGE(""https://docs.google.com/spreadsheets/d/1SX6NBoVAgQJ6U1MVXOaj8PK2l7WJ3RER9xtqwdhxkhw/edit?usp=sharing"",""ปราจีนบุรี!J64"")"),0)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IFERROR(__xludf.DUMMYFUNCTION("IMPORTRANGE(""https://docs.google.com/spreadsheets/d/1SX6NBoVAgQJ6U1MVXOaj8PK2l7WJ3RER9xtqwdhxkhw/edit?usp=sharing"",""ปราจีนบุรี!J65"")"),0)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IFERROR(__xludf.DUMMYFUNCTION("IMPORTRANGE(""https://docs.google.com/spreadsheets/d/1SX6NBoVAgQJ6U1MVXOaj8PK2l7WJ3RER9xtqwdhxkhw/edit?usp=sharing"",""ปราจีนบุรี!I68"")"),20)</f>
        <v>20</v>
      </c>
      <c r="J138" s="268">
        <f ca="1">IFERROR(__xludf.DUMMYFUNCTION("IMPORTRANGE(""https://docs.google.com/spreadsheets/d/1SX6NBoVAgQJ6U1MVXOaj8PK2l7WJ3RER9xtqwdhxkhw/edit?usp=sharing"",""ปราจีนบุรี!J68"")"),20)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431300</v>
      </c>
      <c r="M140" s="152">
        <f t="shared" ca="1" si="64"/>
        <v>339125</v>
      </c>
      <c r="N140" s="152">
        <f t="shared" ca="1" si="64"/>
        <v>277890</v>
      </c>
      <c r="O140" s="151">
        <f t="shared" ref="O140:O142" ca="1" si="65">IF(L140&gt;0,N140*100/L140,0)</f>
        <v>64.430790632970087</v>
      </c>
      <c r="P140" s="151">
        <f t="shared" ref="P140:P142" ca="1" si="66">IF(M140&gt;0,N140*100/M140,0)</f>
        <v>81.943236269812019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431300</v>
      </c>
      <c r="M142" s="157">
        <f t="shared" ca="1" si="68"/>
        <v>339125</v>
      </c>
      <c r="N142" s="157">
        <f t="shared" ca="1" si="68"/>
        <v>277890</v>
      </c>
      <c r="O142" s="156">
        <f t="shared" ca="1" si="65"/>
        <v>64.430790632970087</v>
      </c>
      <c r="P142" s="156">
        <f t="shared" ca="1" si="66"/>
        <v>81.943236269812019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431300</v>
      </c>
      <c r="M144" s="168">
        <f ca="1">IFERROR(__xludf.DUMMYFUNCTION("IMPORTRANGE(""https://docs.google.com/spreadsheets/d/1Yj_ptqi66GCucihVvJfMjLAmec39IyEx_6qawtMGysU/edit?usp=sharing"",""สบก!BJ69"")"),339125)</f>
        <v>339125</v>
      </c>
      <c r="N144" s="169">
        <f ca="1">IFERROR(__xludf.DUMMYFUNCTION("IMPORTRANGE(""https://docs.google.com/spreadsheets/d/1Yj_ptqi66GCucihVvJfMjLAmec39IyEx_6qawtMGysU/edit?usp=sharing"",""สบก!BK69"")"),277890)</f>
        <v>277890</v>
      </c>
      <c r="O144" s="169">
        <f ca="1">IF(L144&gt;0,N144*100/L144,0)</f>
        <v>64.430790632970087</v>
      </c>
      <c r="P144" s="169">
        <f ca="1">IF(M144&gt;0,N144*100/M144,0)</f>
        <v>81.943236269812019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IFERROR(__xludf.DUMMYFUNCTION("IMPORTRANGE(""https://docs.google.com/spreadsheets/d/1Yj_ptqi66GCucihVvJfMjLAmec39IyEx_6qawtMGysU/edit?usp=sharing"",""สบก!BF69"")"),305000)</f>
        <v>305000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IFERROR(__xludf.DUMMYFUNCTION("IMPORTRANGE(""https://docs.google.com/spreadsheets/d/1Yj_ptqi66GCucihVvJfMjLAmec39IyEx_6qawtMGysU/edit?usp=sharing"",""สบก!BG69"")"),126300)</f>
        <v>126300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IFERROR(__xludf.DUMMYFUNCTION("IMPORTRANGE(""https://docs.google.com/spreadsheets/d/1SX6NBoVAgQJ6U1MVXOaj8PK2l7WJ3RER9xtqwdhxkhw/edit?usp=sharing"",""ปราจีนบุรี!I74"")"),4)</f>
        <v>4</v>
      </c>
      <c r="J149" s="276">
        <f ca="1">IFERROR(__xludf.DUMMYFUNCTION("IMPORTRANGE(""https://docs.google.com/spreadsheets/d/1SX6NBoVAgQJ6U1MVXOaj8PK2l7WJ3RER9xtqwdhxkhw/edit?usp=sharing"",""ปราจีนบุรี!J74"")"),1)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IFERROR(__xludf.DUMMYFUNCTION("IMPORTRANGE(""https://docs.google.com/spreadsheets/d/1SX6NBoVAgQJ6U1MVXOaj8PK2l7WJ3RER9xtqwdhxkhw/edit?usp=sharing"",""ปราจีนบุรี!J79"")"),0)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IFERROR(__xludf.DUMMYFUNCTION("IMPORTRANGE(""https://docs.google.com/spreadsheets/d/1SX6NBoVAgQJ6U1MVXOaj8PK2l7WJ3RER9xtqwdhxkhw/edit?usp=sharing"",""ปราจีนบุรี!J80"")"),1)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IFERROR(__xludf.DUMMYFUNCTION("IMPORTRANGE(""https://docs.google.com/spreadsheets/d/1SX6NBoVAgQJ6U1MVXOaj8PK2l7WJ3RER9xtqwdhxkhw/edit?usp=sharing"",""ปราจีนบุรี!J81"")"),1)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IFERROR(__xludf.DUMMYFUNCTION("IMPORTRANGE(""https://docs.google.com/spreadsheets/d/1SX6NBoVAgQJ6U1MVXOaj8PK2l7WJ3RER9xtqwdhxkhw/edit?usp=sharing"",""ปราจีนบุรี!J82"")"),1)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IFERROR(__xludf.DUMMYFUNCTION("IMPORTRANGE(""https://docs.google.com/spreadsheets/d/1SX6NBoVAgQJ6U1MVXOaj8PK2l7WJ3RER9xtqwdhxkhw/edit?usp=sharing"",""ปราจีนบุรี!I83"")"),4)</f>
        <v>4</v>
      </c>
      <c r="J158" s="189">
        <f ca="1">IFERROR(__xludf.DUMMYFUNCTION("IMPORTRANGE(""https://docs.google.com/spreadsheets/d/1SX6NBoVAgQJ6U1MVXOaj8PK2l7WJ3RER9xtqwdhxkhw/edit?usp=sharing"",""ปราจีนบุรี!J83"")"),1)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IFERROR(__xludf.DUMMYFUNCTION("IMPORTRANGE(""https://docs.google.com/spreadsheets/d/1SX6NBoVAgQJ6U1MVXOaj8PK2l7WJ3RER9xtqwdhxkhw/edit?usp=sharing"",""ปราจีนบุรี!J84"")"),21)</f>
        <v>21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IFERROR(__xludf.DUMMYFUNCTION("IMPORTRANGE(""https://docs.google.com/spreadsheets/d/1SX6NBoVAgQJ6U1MVXOaj8PK2l7WJ3RER9xtqwdhxkhw/edit?usp=sharing"",""ปราจีนบุรี!J85"")"),20)</f>
        <v>20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IFERROR(__xludf.DUMMYFUNCTION("IMPORTRANGE(""https://docs.google.com/spreadsheets/d/1SX6NBoVAgQJ6U1MVXOaj8PK2l7WJ3RER9xtqwdhxkhw/edit?usp=sharing"",""ปราจีนบุรี!J86"")"),1)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IFERROR(__xludf.DUMMYFUNCTION("IMPORTRANGE(""https://docs.google.com/spreadsheets/d/1SX6NBoVAgQJ6U1MVXOaj8PK2l7WJ3RER9xtqwdhxkhw/edit?usp=sharing"",""ปราจีนบุรี!J87"")"),0)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IFERROR(__xludf.DUMMYFUNCTION("IMPORTRANGE(""https://docs.google.com/spreadsheets/d/1SX6NBoVAgQJ6U1MVXOaj8PK2l7WJ3RER9xtqwdhxkhw/edit?usp=sharing"",""ปราจีนบุรี!J88"")"),0)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IFERROR(__xludf.DUMMYFUNCTION("IMPORTRANGE(""https://docs.google.com/spreadsheets/d/1SX6NBoVAgQJ6U1MVXOaj8PK2l7WJ3RER9xtqwdhxkhw/edit?usp=sharing"",""ปราจีนบุรี!I89"")"),3)</f>
        <v>3</v>
      </c>
      <c r="J164" s="285">
        <f ca="1">IFERROR(__xludf.DUMMYFUNCTION("IMPORTRANGE(""https://docs.google.com/spreadsheets/d/1SX6NBoVAgQJ6U1MVXOaj8PK2l7WJ3RER9xtqwdhxkhw/edit?usp=sharing"",""ปราจีนบุรี!J89"")"),3)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IFERROR(__xludf.DUMMYFUNCTION("IMPORTRANGE(""https://docs.google.com/spreadsheets/d/1SX6NBoVAgQJ6U1MVXOaj8PK2l7WJ3RER9xtqwdhxkhw/edit?usp=sharing"",""ปราจีนบุรี!J94"")"),0)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IFERROR(__xludf.DUMMYFUNCTION("IMPORTRANGE(""https://docs.google.com/spreadsheets/d/1SX6NBoVAgQJ6U1MVXOaj8PK2l7WJ3RER9xtqwdhxkhw/edit?usp=sharing"",""ปราจีนบุรี!J95"")"),1)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IFERROR(__xludf.DUMMYFUNCTION("IMPORTRANGE(""https://docs.google.com/spreadsheets/d/1SX6NBoVAgQJ6U1MVXOaj8PK2l7WJ3RER9xtqwdhxkhw/edit?usp=sharing"",""ปราจีนบุรี!J96"")"),1)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IFERROR(__xludf.DUMMYFUNCTION("IMPORTRANGE(""https://docs.google.com/spreadsheets/d/1SX6NBoVAgQJ6U1MVXOaj8PK2l7WJ3RER9xtqwdhxkhw/edit?usp=sharing"",""ปราจีนบุรี!J97"")"),1)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IFERROR(__xludf.DUMMYFUNCTION("IMPORTRANGE(""https://docs.google.com/spreadsheets/d/1SX6NBoVAgQJ6U1MVXOaj8PK2l7WJ3RER9xtqwdhxkhw/edit?usp=sharing"",""ปราจีนบุรี!I98"")"),3)</f>
        <v>3</v>
      </c>
      <c r="J173" s="189">
        <f ca="1">IFERROR(__xludf.DUMMYFUNCTION("IMPORTRANGE(""https://docs.google.com/spreadsheets/d/1SX6NBoVAgQJ6U1MVXOaj8PK2l7WJ3RER9xtqwdhxkhw/edit?usp=sharing"",""ปราจีนบุรี!J98"")"),3)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IFERROR(__xludf.DUMMYFUNCTION("IMPORTRANGE(""https://docs.google.com/spreadsheets/d/1SX6NBoVAgQJ6U1MVXOaj8PK2l7WJ3RER9xtqwdhxkhw/edit?usp=sharing"",""ปราจีนบุรี!J99"")"),0)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IFERROR(__xludf.DUMMYFUNCTION("IMPORTRANGE(""https://docs.google.com/spreadsheets/d/1SX6NBoVAgQJ6U1MVXOaj8PK2l7WJ3RER9xtqwdhxkhw/edit?usp=sharing"",""ปราจีนบุรี!J100"")"),0)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IFERROR(__xludf.DUMMYFUNCTION("IMPORTRANGE(""https://docs.google.com/spreadsheets/d/1SX6NBoVAgQJ6U1MVXOaj8PK2l7WJ3RER9xtqwdhxkhw/edit?usp=sharing"",""ปราจีนบุรี!I101"")"),0)</f>
        <v>0</v>
      </c>
      <c r="J176" s="285">
        <f ca="1">IFERROR(__xludf.DUMMYFUNCTION("IMPORTRANGE(""https://docs.google.com/spreadsheets/d/1SX6NBoVAgQJ6U1MVXOaj8PK2l7WJ3RER9xtqwdhxkhw/edit?usp=sharing"",""ปราจีนบุรี!J101"")"),0)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IFERROR(__xludf.DUMMYFUNCTION("IMPORTRANGE(""https://docs.google.com/spreadsheets/d/1SX6NBoVAgQJ6U1MVXOaj8PK2l7WJ3RER9xtqwdhxkhw/edit?usp=sharing"",""ปราจีนบุรี!J106"")"),0)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IFERROR(__xludf.DUMMYFUNCTION("IMPORTRANGE(""https://docs.google.com/spreadsheets/d/1SX6NBoVAgQJ6U1MVXOaj8PK2l7WJ3RER9xtqwdhxkhw/edit?usp=sharing"",""ปราจีนบุรี!J107"")"),0)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IFERROR(__xludf.DUMMYFUNCTION("IMPORTRANGE(""https://docs.google.com/spreadsheets/d/1SX6NBoVAgQJ6U1MVXOaj8PK2l7WJ3RER9xtqwdhxkhw/edit?usp=sharing"",""ปราจีนบุรี!J108"")"),0)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IFERROR(__xludf.DUMMYFUNCTION("IMPORTRANGE(""https://docs.google.com/spreadsheets/d/1SX6NBoVAgQJ6U1MVXOaj8PK2l7WJ3RER9xtqwdhxkhw/edit?usp=sharing"",""ปราจีนบุรี!J109"")"),0)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IFERROR(__xludf.DUMMYFUNCTION("IMPORTRANGE(""https://docs.google.com/spreadsheets/d/1SX6NBoVAgQJ6U1MVXOaj8PK2l7WJ3RER9xtqwdhxkhw/edit?usp=sharing"",""ปราจีนบุรี!I110"")"),0)</f>
        <v>0</v>
      </c>
      <c r="J185" s="204">
        <f ca="1">IFERROR(__xludf.DUMMYFUNCTION("IMPORTRANGE(""https://docs.google.com/spreadsheets/d/1SX6NBoVAgQJ6U1MVXOaj8PK2l7WJ3RER9xtqwdhxkhw/edit?usp=sharing"",""ปราจีนบุรี!J110"")"),0)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IFERROR(__xludf.DUMMYFUNCTION("IMPORTRANGE(""https://docs.google.com/spreadsheets/d/1SX6NBoVAgQJ6U1MVXOaj8PK2l7WJ3RER9xtqwdhxkhw/edit?usp=sharing"",""ปราจีนบุรี!I111"")"),0)</f>
        <v>0</v>
      </c>
      <c r="J186" s="204">
        <f ca="1">IFERROR(__xludf.DUMMYFUNCTION("IMPORTRANGE(""https://docs.google.com/spreadsheets/d/1SX6NBoVAgQJ6U1MVXOaj8PK2l7WJ3RER9xtqwdhxkhw/edit?usp=sharing"",""ปราจีนบุรี!J111"")"),0)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IFERROR(__xludf.DUMMYFUNCTION("IMPORTRANGE(""https://docs.google.com/spreadsheets/d/1SX6NBoVAgQJ6U1MVXOaj8PK2l7WJ3RER9xtqwdhxkhw/edit?usp=sharing"",""ปราจีนบุรี!J112"")"),0)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IFERROR(__xludf.DUMMYFUNCTION("IMPORTRANGE(""https://docs.google.com/spreadsheets/d/1SX6NBoVAgQJ6U1MVXOaj8PK2l7WJ3RER9xtqwdhxkhw/edit?usp=sharing"",""ปราจีนบุรี!J113"")"),0)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IFERROR(__xludf.DUMMYFUNCTION("IMPORTRANGE(""https://docs.google.com/spreadsheets/d/1SX6NBoVAgQJ6U1MVXOaj8PK2l7WJ3RER9xtqwdhxkhw/edit?usp=sharing"",""ปราจีนบุรี!I114"")"),20000)</f>
        <v>20000</v>
      </c>
      <c r="J189" s="285">
        <f ca="1">IFERROR(__xludf.DUMMYFUNCTION("IMPORTRANGE(""https://docs.google.com/spreadsheets/d/1SX6NBoVAgQJ6U1MVXOaj8PK2l7WJ3RER9xtqwdhxkhw/edit?usp=sharing"",""ปราจีนบุรี!J114"")"),0)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IFERROR(__xludf.DUMMYFUNCTION("IMPORTRANGE(""https://docs.google.com/spreadsheets/d/1SX6NBoVAgQJ6U1MVXOaj8PK2l7WJ3RER9xtqwdhxkhw/edit?usp=sharing"",""ปราจีนบุรี!J119"")"),1)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IFERROR(__xludf.DUMMYFUNCTION("IMPORTRANGE(""https://docs.google.com/spreadsheets/d/1SX6NBoVAgQJ6U1MVXOaj8PK2l7WJ3RER9xtqwdhxkhw/edit?usp=sharing"",""ปราจีนบุรี!J120"")"),0)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IFERROR(__xludf.DUMMYFUNCTION("IMPORTRANGE(""https://docs.google.com/spreadsheets/d/1SX6NBoVAgQJ6U1MVXOaj8PK2l7WJ3RER9xtqwdhxkhw/edit?usp=sharing"",""ปราจีนบุรี!J121"")"),0)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IFERROR(__xludf.DUMMYFUNCTION("IMPORTRANGE(""https://docs.google.com/spreadsheets/d/1SX6NBoVAgQJ6U1MVXOaj8PK2l7WJ3RER9xtqwdhxkhw/edit?usp=sharing"",""ปราจีนบุรี!J122"")"),0)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IFERROR(__xludf.DUMMYFUNCTION("IMPORTRANGE(""https://docs.google.com/spreadsheets/d/1SX6NBoVAgQJ6U1MVXOaj8PK2l7WJ3RER9xtqwdhxkhw/edit?usp=sharing"",""ปราจีนบุรี!I124"")"),20000)</f>
        <v>20000</v>
      </c>
      <c r="J199" s="189">
        <f ca="1">IFERROR(__xludf.DUMMYFUNCTION("IMPORTRANGE(""https://docs.google.com/spreadsheets/d/1SX6NBoVAgQJ6U1MVXOaj8PK2l7WJ3RER9xtqwdhxkhw/edit?usp=sharing"",""ปราจีนบุรี!J124"")"),0)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IFERROR(__xludf.DUMMYFUNCTION("IMPORTRANGE(""https://docs.google.com/spreadsheets/d/1SX6NBoVAgQJ6U1MVXOaj8PK2l7WJ3RER9xtqwdhxkhw/edit?usp=sharing"",""ปราจีนบุรี!I125"")"),20000)</f>
        <v>20000</v>
      </c>
      <c r="J200" s="189">
        <f ca="1">IFERROR(__xludf.DUMMYFUNCTION("IMPORTRANGE(""https://docs.google.com/spreadsheets/d/1SX6NBoVAgQJ6U1MVXOaj8PK2l7WJ3RER9xtqwdhxkhw/edit?usp=sharing"",""ปราจีนบุรี!J125"")"),0)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IFERROR(__xludf.DUMMYFUNCTION("IMPORTRANGE(""https://docs.google.com/spreadsheets/d/1SX6NBoVAgQJ6U1MVXOaj8PK2l7WJ3RER9xtqwdhxkhw/edit?usp=sharing"",""ปราจีนบุรี!I126"")"),0)</f>
        <v>0</v>
      </c>
      <c r="J201" s="189">
        <f ca="1">IFERROR(__xludf.DUMMYFUNCTION("IMPORTRANGE(""https://docs.google.com/spreadsheets/d/1SX6NBoVAgQJ6U1MVXOaj8PK2l7WJ3RER9xtqwdhxkhw/edit?usp=sharing"",""ปราจีนบุรี!J126"")"),0)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IFERROR(__xludf.DUMMYFUNCTION("IMPORTRANGE(""https://docs.google.com/spreadsheets/d/1SX6NBoVAgQJ6U1MVXOaj8PK2l7WJ3RER9xtqwdhxkhw/edit?usp=sharing"",""ปราจีนบุรี!J127"")"),0)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IFERROR(__xludf.DUMMYFUNCTION("IMPORTRANGE(""https://docs.google.com/spreadsheets/d/1SX6NBoVAgQJ6U1MVXOaj8PK2l7WJ3RER9xtqwdhxkhw/edit?usp=sharing"",""ปราจีนบุรี!J128"")"),0)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IFERROR(__xludf.DUMMYFUNCTION("IMPORTRANGE(""https://docs.google.com/spreadsheets/d/1SX6NBoVAgQJ6U1MVXOaj8PK2l7WJ3RER9xtqwdhxkhw/edit?usp=sharing"",""ปราจีนบุรี!I129"")"),20)</f>
        <v>20</v>
      </c>
      <c r="J204" s="285">
        <f ca="1">IFERROR(__xludf.DUMMYFUNCTION("IMPORTRANGE(""https://docs.google.com/spreadsheets/d/1SX6NBoVAgQJ6U1MVXOaj8PK2l7WJ3RER9xtqwdhxkhw/edit?usp=sharing"",""ปราจีนบุรี!J129"")"),20)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IFERROR(__xludf.DUMMYFUNCTION("IMPORTRANGE(""https://docs.google.com/spreadsheets/d/1SX6NBoVAgQJ6U1MVXOaj8PK2l7WJ3RER9xtqwdhxkhw/edit?usp=sharing"",""ปราจีนบุรี!J134"")"),0)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IFERROR(__xludf.DUMMYFUNCTION("IMPORTRANGE(""https://docs.google.com/spreadsheets/d/1SX6NBoVAgQJ6U1MVXOaj8PK2l7WJ3RER9xtqwdhxkhw/edit?usp=sharing"",""ปราจีนบุรี!J135"")"),1)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IFERROR(__xludf.DUMMYFUNCTION("IMPORTRANGE(""https://docs.google.com/spreadsheets/d/1SX6NBoVAgQJ6U1MVXOaj8PK2l7WJ3RER9xtqwdhxkhw/edit?usp=sharing"",""ปราจีนบุรี!J136"")"),1)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IFERROR(__xludf.DUMMYFUNCTION("IMPORTRANGE(""https://docs.google.com/spreadsheets/d/1SX6NBoVAgQJ6U1MVXOaj8PK2l7WJ3RER9xtqwdhxkhw/edit?usp=sharing"",""ปราจีนบุรี!J137"")"),1)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IFERROR(__xludf.DUMMYFUNCTION("IMPORTRANGE(""https://docs.google.com/spreadsheets/d/1SX6NBoVAgQJ6U1MVXOaj8PK2l7WJ3RER9xtqwdhxkhw/edit?usp=sharing"",""ปราจีนบุรี!I138"")"),20)</f>
        <v>20</v>
      </c>
      <c r="J213" s="204">
        <f ca="1">IFERROR(__xludf.DUMMYFUNCTION("IMPORTRANGE(""https://docs.google.com/spreadsheets/d/1SX6NBoVAgQJ6U1MVXOaj8PK2l7WJ3RER9xtqwdhxkhw/edit?usp=sharing"",""ปราจีนบุรี!J138"")"),20)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IFERROR(__xludf.DUMMYFUNCTION("IMPORTRANGE(""https://docs.google.com/spreadsheets/d/1SX6NBoVAgQJ6U1MVXOaj8PK2l7WJ3RER9xtqwdhxkhw/edit?usp=sharing"",""ปราจีนบุรี!I140"")"),0)</f>
        <v>0</v>
      </c>
      <c r="J215" s="204">
        <f ca="1">IFERROR(__xludf.DUMMYFUNCTION("IMPORTRANGE(""https://docs.google.com/spreadsheets/d/1SX6NBoVAgQJ6U1MVXOaj8PK2l7WJ3RER9xtqwdhxkhw/edit?usp=sharing"",""ปราจีนบุรี!J140"")"),0)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IFERROR(__xludf.DUMMYFUNCTION("IMPORTRANGE(""https://docs.google.com/spreadsheets/d/1SX6NBoVAgQJ6U1MVXOaj8PK2l7WJ3RER9xtqwdhxkhw/edit?usp=sharing"",""ปราจีนบุรี!I141"")"),1)</f>
        <v>1</v>
      </c>
      <c r="J216" s="204">
        <f ca="1">IFERROR(__xludf.DUMMYFUNCTION("IMPORTRANGE(""https://docs.google.com/spreadsheets/d/1SX6NBoVAgQJ6U1MVXOaj8PK2l7WJ3RER9xtqwdhxkhw/edit?usp=sharing"",""ปราจีนบุรี!J141"")"),0)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IFERROR(__xludf.DUMMYFUNCTION("IMPORTRANGE(""https://docs.google.com/spreadsheets/d/1SX6NBoVAgQJ6U1MVXOaj8PK2l7WJ3RER9xtqwdhxkhw/edit?usp=sharing"",""ปราจีนบุรี!J142"")"),0)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IFERROR(__xludf.DUMMYFUNCTION("IMPORTRANGE(""https://docs.google.com/spreadsheets/d/1SX6NBoVAgQJ6U1MVXOaj8PK2l7WJ3RER9xtqwdhxkhw/edit?usp=sharing"",""ปราจีนบุรี!J143"")"),0)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IFERROR(__xludf.DUMMYFUNCTION("IMPORTRANGE(""https://docs.google.com/spreadsheets/d/1SX6NBoVAgQJ6U1MVXOaj8PK2l7WJ3RER9xtqwdhxkhw/edit?usp=sharing"",""ปราจีนบุรี!I144"")"),15)</f>
        <v>15</v>
      </c>
      <c r="J219" s="268">
        <f ca="1">IFERROR(__xludf.DUMMYFUNCTION("IMPORTRANGE(""https://docs.google.com/spreadsheets/d/1SX6NBoVAgQJ6U1MVXOaj8PK2l7WJ3RER9xtqwdhxkhw/edit?usp=sharing"",""ปราจีนบุรี!J144"")"),15)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IFERROR(__xludf.DUMMYFUNCTION("IMPORTRANGE(""https://docs.google.com/spreadsheets/d/1Yj_ptqi66GCucihVvJfMjLAmec39IyEx_6qawtMGysU/edit?usp=sharing"",""สบก!BS69"")"),21125)</f>
        <v>21125</v>
      </c>
      <c r="N224" s="169">
        <f ca="1">IFERROR(__xludf.DUMMYFUNCTION("IMPORTRANGE(""https://docs.google.com/spreadsheets/d/1Yj_ptqi66GCucihVvJfMjLAmec39IyEx_6qawtMGysU/edit?usp=sharing"",""สบก!BT69"")"),21125)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IFERROR(__xludf.DUMMYFUNCTION("IMPORTRANGE(""https://docs.google.com/spreadsheets/d/1Yj_ptqi66GCucihVvJfMjLAmec39IyEx_6qawtMGysU/edit?usp=sharing"",""สบก!BP69"")"),21125)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IFERROR(__xludf.DUMMYFUNCTION("IMPORTRANGE(""https://docs.google.com/spreadsheets/d/1SX6NBoVAgQJ6U1MVXOaj8PK2l7WJ3RER9xtqwdhxkhw/edit?usp=sharing"",""ปราจีนบุรี!I149"")"),15)</f>
        <v>15</v>
      </c>
      <c r="J229" s="268">
        <f ca="1">IFERROR(__xludf.DUMMYFUNCTION("IMPORTRANGE(""https://docs.google.com/spreadsheets/d/1SX6NBoVAgQJ6U1MVXOaj8PK2l7WJ3RER9xtqwdhxkhw/edit?usp=sharing"",""ปราจีนบุรี!J149"")"),15)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IFERROR(__xludf.DUMMYFUNCTION("IMPORTRANGE(""https://docs.google.com/spreadsheets/d/1SX6NBoVAgQJ6U1MVXOaj8PK2l7WJ3RER9xtqwdhxkhw/edit?usp=sharing"",""ปราจีนบุรี!J151"")"),0)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IFERROR(__xludf.DUMMYFUNCTION("IMPORTRANGE(""https://docs.google.com/spreadsheets/d/1SX6NBoVAgQJ6U1MVXOaj8PK2l7WJ3RER9xtqwdhxkhw/edit?usp=sharing"",""ปราจีนบุรี!J152"")"),1)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IFERROR(__xludf.DUMMYFUNCTION("IMPORTRANGE(""https://docs.google.com/spreadsheets/d/1SX6NBoVAgQJ6U1MVXOaj8PK2l7WJ3RER9xtqwdhxkhw/edit?usp=sharing"",""ปราจีนบุรี!J153"")"),1)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IFERROR(__xludf.DUMMYFUNCTION("IMPORTRANGE(""https://docs.google.com/spreadsheets/d/1SX6NBoVAgQJ6U1MVXOaj8PK2l7WJ3RER9xtqwdhxkhw/edit?usp=sharing"",""ปราจีนบุรี!J154"")"),1)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IFERROR(__xludf.DUMMYFUNCTION("IMPORTRANGE(""https://docs.google.com/spreadsheets/d/1SX6NBoVAgQJ6U1MVXOaj8PK2l7WJ3RER9xtqwdhxkhw/edit?usp=sharing"",""ปราจีนบุรี!I155"")"),15)</f>
        <v>15</v>
      </c>
      <c r="J235" s="189">
        <f ca="1">IFERROR(__xludf.DUMMYFUNCTION("IMPORTRANGE(""https://docs.google.com/spreadsheets/d/1SX6NBoVAgQJ6U1MVXOaj8PK2l7WJ3RER9xtqwdhxkhw/edit?usp=sharing"",""ปราจีนบุรี!J155"")"),15)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IFERROR(__xludf.DUMMYFUNCTION("IMPORTRANGE(""https://docs.google.com/spreadsheets/d/1SX6NBoVAgQJ6U1MVXOaj8PK2l7WJ3RER9xtqwdhxkhw/edit?usp=sharing"",""ปราจีนบุรี!J156"")"),0)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IFERROR(__xludf.DUMMYFUNCTION("IMPORTRANGE(""https://docs.google.com/spreadsheets/d/1SX6NBoVAgQJ6U1MVXOaj8PK2l7WJ3RER9xtqwdhxkhw/edit?usp=sharing"",""ปราจีนบุรี!J157"")"),0)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IFERROR(__xludf.DUMMYFUNCTION("IMPORTRANGE(""https://docs.google.com/spreadsheets/d/1SX6NBoVAgQJ6U1MVXOaj8PK2l7WJ3RER9xtqwdhxkhw/edit?usp=sharing"",""ปราจีนบุรี!I158"")"),0)</f>
        <v>0</v>
      </c>
      <c r="J238" s="268">
        <f ca="1">IFERROR(__xludf.DUMMYFUNCTION("IMPORTRANGE(""https://docs.google.com/spreadsheets/d/1SX6NBoVAgQJ6U1MVXOaj8PK2l7WJ3RER9xtqwdhxkhw/edit?usp=sharing"",""ปราจีนบุรี!J158"")"),0)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IFERROR(__xludf.DUMMYFUNCTION("IMPORTRANGE(""https://docs.google.com/spreadsheets/d/1SX6NBoVAgQJ6U1MVXOaj8PK2l7WJ3RER9xtqwdhxkhw/edit?usp=sharing"",""ปราจีนบุรี!J159"")"),"")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IFERROR(__xludf.DUMMYFUNCTION("IMPORTRANGE(""https://docs.google.com/spreadsheets/d/1SX6NBoVAgQJ6U1MVXOaj8PK2l7WJ3RER9xtqwdhxkhw/edit?usp=sharing"",""ปราจีนบุรี!J161"")"),0)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IFERROR(__xludf.DUMMYFUNCTION("IMPORTRANGE(""https://docs.google.com/spreadsheets/d/1SX6NBoVAgQJ6U1MVXOaj8PK2l7WJ3RER9xtqwdhxkhw/edit?usp=sharing"",""ปราจีนบุรี!J162"")"),0)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IFERROR(__xludf.DUMMYFUNCTION("IMPORTRANGE(""https://docs.google.com/spreadsheets/d/1SX6NBoVAgQJ6U1MVXOaj8PK2l7WJ3RER9xtqwdhxkhw/edit?usp=sharing"",""ปราจีนบุรี!J163"")"),0)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IFERROR(__xludf.DUMMYFUNCTION("IMPORTRANGE(""https://docs.google.com/spreadsheets/d/1SX6NBoVAgQJ6U1MVXOaj8PK2l7WJ3RER9xtqwdhxkhw/edit?usp=sharing"",""ปราจีนบุรี!I164"")"),0)</f>
        <v>0</v>
      </c>
      <c r="J244" s="188">
        <f ca="1">IFERROR(__xludf.DUMMYFUNCTION("IMPORTRANGE(""https://docs.google.com/spreadsheets/d/1SX6NBoVAgQJ6U1MVXOaj8PK2l7WJ3RER9xtqwdhxkhw/edit?usp=sharing"",""ปราจีนบุรี!J164"")"),0)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IFERROR(__xludf.DUMMYFUNCTION("IMPORTRANGE(""https://docs.google.com/spreadsheets/d/1SX6NBoVAgQJ6U1MVXOaj8PK2l7WJ3RER9xtqwdhxkhw/edit?usp=sharing"",""ปราจีนบุรี!J165"")"),0)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IFERROR(__xludf.DUMMYFUNCTION("IMPORTRANGE(""https://docs.google.com/spreadsheets/d/1SX6NBoVAgQJ6U1MVXOaj8PK2l7WJ3RER9xtqwdhxkhw/edit?usp=sharing"",""ปราจีนบุรี!J166"")"),0)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IFERROR(__xludf.DUMMYFUNCTION("IMPORTRANGE(""https://docs.google.com/spreadsheets/d/1SX6NBoVAgQJ6U1MVXOaj8PK2l7WJ3RER9xtqwdhxkhw/edit?usp=sharing"",""ปราจีนบุรี!I169"")"),20)</f>
        <v>20</v>
      </c>
      <c r="J249" s="317">
        <f ca="1">IFERROR(__xludf.DUMMYFUNCTION("IMPORTRANGE(""https://docs.google.com/spreadsheets/d/1SX6NBoVAgQJ6U1MVXOaj8PK2l7WJ3RER9xtqwdhxkhw/edit?usp=sharing"",""ปราจีนบุรี!J169"")"),20)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34200</v>
      </c>
      <c r="O250" s="151">
        <f t="shared" ref="O250:O252" ca="1" si="78">IF(L250&gt;0,N250*100/L250,0)</f>
        <v>47.899159663865547</v>
      </c>
      <c r="P250" s="151">
        <f t="shared" ref="P250:P252" ca="1" si="79">IF(M250&gt;0,N250*100/M250,0)</f>
        <v>81.428571428571431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34200</v>
      </c>
      <c r="O252" s="156">
        <f t="shared" ca="1" si="78"/>
        <v>47.899159663865547</v>
      </c>
      <c r="P252" s="156">
        <f t="shared" ca="1" si="79"/>
        <v>81.428571428571431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IFERROR(__xludf.DUMMYFUNCTION("IMPORTRANGE(""https://docs.google.com/spreadsheets/d/1Yj_ptqi66GCucihVvJfMjLAmec39IyEx_6qawtMGysU/edit?usp=sharing"",""สบก!CB69"")"),42000)</f>
        <v>42000</v>
      </c>
      <c r="N254" s="169">
        <f ca="1">IFERROR(__xludf.DUMMYFUNCTION("IMPORTRANGE(""https://docs.google.com/spreadsheets/d/1Yj_ptqi66GCucihVvJfMjLAmec39IyEx_6qawtMGysU/edit?usp=sharing"",""สบก!CC69"")"),34200)</f>
        <v>34200</v>
      </c>
      <c r="O254" s="169">
        <f ca="1">IF(L254&gt;0,N254*100/L254,0)</f>
        <v>47.899159663865547</v>
      </c>
      <c r="P254" s="169">
        <f ca="1">IF(M254&gt;0,N254*100/M254,0)</f>
        <v>81.428571428571431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IFERROR(__xludf.DUMMYFUNCTION("IMPORTRANGE(""https://docs.google.com/spreadsheets/d/1Yj_ptqi66GCucihVvJfMjLAmec39IyEx_6qawtMGysU/edit?usp=sharing"",""สบก!BY69"")"),71400)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IFERROR(__xludf.DUMMYFUNCTION("IMPORTRANGE(""https://docs.google.com/spreadsheets/d/1SX6NBoVAgQJ6U1MVXOaj8PK2l7WJ3RER9xtqwdhxkhw/edit?usp=sharing"",""ปราจีนบุรี!J175"")"),0)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IFERROR(__xludf.DUMMYFUNCTION("IMPORTRANGE(""https://docs.google.com/spreadsheets/d/1SX6NBoVAgQJ6U1MVXOaj8PK2l7WJ3RER9xtqwdhxkhw/edit?usp=sharing"",""ปราจีนบุรี!J176"")"),1)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IFERROR(__xludf.DUMMYFUNCTION("IMPORTRANGE(""https://docs.google.com/spreadsheets/d/1SX6NBoVAgQJ6U1MVXOaj8PK2l7WJ3RER9xtqwdhxkhw/edit?usp=sharing"",""ปราจีนบุรี!J177"")"),1)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IFERROR(__xludf.DUMMYFUNCTION("IMPORTRANGE(""https://docs.google.com/spreadsheets/d/1SX6NBoVAgQJ6U1MVXOaj8PK2l7WJ3RER9xtqwdhxkhw/edit?usp=sharing"",""ปราจีนบุรี!J178"")"),1)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IFERROR(__xludf.DUMMYFUNCTION("IMPORTRANGE(""https://docs.google.com/spreadsheets/d/1SX6NBoVAgQJ6U1MVXOaj8PK2l7WJ3RER9xtqwdhxkhw/edit?usp=sharing"",""ปราจีนบุรี!I179"")"),1)</f>
        <v>1</v>
      </c>
      <c r="J264" s="189">
        <f ca="1">IFERROR(__xludf.DUMMYFUNCTION("IMPORTRANGE(""https://docs.google.com/spreadsheets/d/1SX6NBoVAgQJ6U1MVXOaj8PK2l7WJ3RER9xtqwdhxkhw/edit?usp=sharing"",""ปราจีนบุรี!J179"")"),1)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IFERROR(__xludf.DUMMYFUNCTION("IMPORTRANGE(""https://docs.google.com/spreadsheets/d/1SX6NBoVAgQJ6U1MVXOaj8PK2l7WJ3RER9xtqwdhxkhw/edit?usp=sharing"",""ปราจีนบุรี!I180"")"),20)</f>
        <v>20</v>
      </c>
      <c r="J265" s="189">
        <f ca="1">IFERROR(__xludf.DUMMYFUNCTION("IMPORTRANGE(""https://docs.google.com/spreadsheets/d/1SX6NBoVAgQJ6U1MVXOaj8PK2l7WJ3RER9xtqwdhxkhw/edit?usp=sharing"",""ปราจีนบุรี!J180"")"),20)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IFERROR(__xludf.DUMMYFUNCTION("IMPORTRANGE(""https://docs.google.com/spreadsheets/d/1SX6NBoVAgQJ6U1MVXOaj8PK2l7WJ3RER9xtqwdhxkhw/edit?usp=sharing"",""ปราจีนบุรี!I181"")"),20)</f>
        <v>20</v>
      </c>
      <c r="J266" s="189">
        <f ca="1">IFERROR(__xludf.DUMMYFUNCTION("IMPORTRANGE(""https://docs.google.com/spreadsheets/d/1SX6NBoVAgQJ6U1MVXOaj8PK2l7WJ3RER9xtqwdhxkhw/edit?usp=sharing"",""ปราจีนบุรี!J181"")"),0)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IFERROR(__xludf.DUMMYFUNCTION("IMPORTRANGE(""https://docs.google.com/spreadsheets/d/1SX6NBoVAgQJ6U1MVXOaj8PK2l7WJ3RER9xtqwdhxkhw/edit?usp=sharing"",""ปราจีนบุรี!I182"")"),1)</f>
        <v>1</v>
      </c>
      <c r="J267" s="189">
        <f ca="1">IFERROR(__xludf.DUMMYFUNCTION("IMPORTRANGE(""https://docs.google.com/spreadsheets/d/1SX6NBoVAgQJ6U1MVXOaj8PK2l7WJ3RER9xtqwdhxkhw/edit?usp=sharing"",""ปราจีนบุรี!J182"")"),0)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IFERROR(__xludf.DUMMYFUNCTION("IMPORTRANGE(""https://docs.google.com/spreadsheets/d/1SX6NBoVAgQJ6U1MVXOaj8PK2l7WJ3RER9xtqwdhxkhw/edit?usp=sharing"",""ปราจีนบุรี!J183"")"),0)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IFERROR(__xludf.DUMMYFUNCTION("IMPORTRANGE(""https://docs.google.com/spreadsheets/d/1SX6NBoVAgQJ6U1MVXOaj8PK2l7WJ3RER9xtqwdhxkhw/edit?usp=sharing"",""ปราจีนบุรี!J184"")"),0)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IFERROR(__xludf.DUMMYFUNCTION("IMPORTRANGE(""https://docs.google.com/spreadsheets/d/1SX6NBoVAgQJ6U1MVXOaj8PK2l7WJ3RER9xtqwdhxkhw/edit?usp=sharing"",""ปราจีนบุรี!I185"")"),0)</f>
        <v>0</v>
      </c>
      <c r="J270" s="317">
        <f ca="1">IFERROR(__xludf.DUMMYFUNCTION("IMPORTRANGE(""https://docs.google.com/spreadsheets/d/1SX6NBoVAgQJ6U1MVXOaj8PK2l7WJ3RER9xtqwdhxkhw/edit?usp=sharing"",""ปราจีนบุรี!J185"")"),0)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IFERROR(__xludf.DUMMYFUNCTION("IMPORTRANGE(""https://docs.google.com/spreadsheets/d/1Yj_ptqi66GCucihVvJfMjLAmec39IyEx_6qawtMGysU/edit?usp=sharing"",""สบก!CK69"")"),0)</f>
        <v>0</v>
      </c>
      <c r="N275" s="169">
        <f ca="1">IFERROR(__xludf.DUMMYFUNCTION("IMPORTRANGE(""https://docs.google.com/spreadsheets/d/1Yj_ptqi66GCucihVvJfMjLAmec39IyEx_6qawtMGysU/edit?usp=sharing"",""สบก!CL69"")"),0)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IFERROR(__xludf.DUMMYFUNCTION("IMPORTRANGE(""https://docs.google.com/spreadsheets/d/1Yj_ptqi66GCucihVvJfMjLAmec39IyEx_6qawtMGysU/edit?usp=sharing"",""สบก!CH69"")"),0)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IFERROR(__xludf.DUMMYFUNCTION("IMPORTRANGE(""https://docs.google.com/spreadsheets/d/1SX6NBoVAgQJ6U1MVXOaj8PK2l7WJ3RER9xtqwdhxkhw/edit?usp=sharing"",""ปราจีนบุรี!J191"")"),0)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IFERROR(__xludf.DUMMYFUNCTION("IMPORTRANGE(""https://docs.google.com/spreadsheets/d/1SX6NBoVAgQJ6U1MVXOaj8PK2l7WJ3RER9xtqwdhxkhw/edit?usp=sharing"",""ปราจีนบุรี!J192"")"),0)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IFERROR(__xludf.DUMMYFUNCTION("IMPORTRANGE(""https://docs.google.com/spreadsheets/d/1SX6NBoVAgQJ6U1MVXOaj8PK2l7WJ3RER9xtqwdhxkhw/edit?usp=sharing"",""ปราจีนบุรี!J193"")"),0)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IFERROR(__xludf.DUMMYFUNCTION("IMPORTRANGE(""https://docs.google.com/spreadsheets/d/1SX6NBoVAgQJ6U1MVXOaj8PK2l7WJ3RER9xtqwdhxkhw/edit?usp=sharing"",""ปราจีนบุรี!J194"")"),0)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IFERROR(__xludf.DUMMYFUNCTION("IMPORTRANGE(""https://docs.google.com/spreadsheets/d/1SX6NBoVAgQJ6U1MVXOaj8PK2l7WJ3RER9xtqwdhxkhw/edit?usp=sharing"",""ปราจีนบุรี!I195"")"),0)</f>
        <v>0</v>
      </c>
      <c r="J285" s="189">
        <f ca="1">IFERROR(__xludf.DUMMYFUNCTION("IMPORTRANGE(""https://docs.google.com/spreadsheets/d/1SX6NBoVAgQJ6U1MVXOaj8PK2l7WJ3RER9xtqwdhxkhw/edit?usp=sharing"",""ปราจีนบุรี!J195"")"),0)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IFERROR(__xludf.DUMMYFUNCTION("IMPORTRANGE(""https://docs.google.com/spreadsheets/d/1SX6NBoVAgQJ6U1MVXOaj8PK2l7WJ3RER9xtqwdhxkhw/edit?usp=sharing"",""ปราจีนบุรี!J196"")"),0)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IFERROR(__xludf.DUMMYFUNCTION("IMPORTRANGE(""https://docs.google.com/spreadsheets/d/1SX6NBoVAgQJ6U1MVXOaj8PK2l7WJ3RER9xtqwdhxkhw/edit?usp=sharing"",""ปราจีนบุรี!J197"")"),0)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IFERROR(__xludf.DUMMYFUNCTION("IMPORTRANGE(""https://docs.google.com/spreadsheets/d/1SX6NBoVAgQJ6U1MVXOaj8PK2l7WJ3RER9xtqwdhxkhw/edit?usp=sharing"",""ปราจีนบุรี!I199"")"),0)</f>
        <v>0</v>
      </c>
      <c r="J289" s="317">
        <f ca="1">IFERROR(__xludf.DUMMYFUNCTION("IMPORTRANGE(""https://docs.google.com/spreadsheets/d/1SX6NBoVAgQJ6U1MVXOaj8PK2l7WJ3RER9xtqwdhxkhw/edit?usp=sharing"",""ปราจีนบุรี!J199"")"),0)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IFERROR(__xludf.DUMMYFUNCTION("IMPORTRANGE(""https://docs.google.com/spreadsheets/d/1Yj_ptqi66GCucihVvJfMjLAmec39IyEx_6qawtMGysU/edit?usp=sharing"",""สบก!CT69"")"),0)</f>
        <v>0</v>
      </c>
      <c r="N294" s="169">
        <f ca="1">IFERROR(__xludf.DUMMYFUNCTION("IMPORTRANGE(""https://docs.google.com/spreadsheets/d/1Yj_ptqi66GCucihVvJfMjLAmec39IyEx_6qawtMGysU/edit?usp=sharing"",""สบก!CU69"")"),0)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IFERROR(__xludf.DUMMYFUNCTION("IMPORTRANGE(""https://docs.google.com/spreadsheets/d/1SX6NBoVAgQJ6U1MVXOaj8PK2l7WJ3RER9xtqwdhxkhw/edit?usp=sharing"",""ปราจีนบุรี!J205"")"),0)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IFERROR(__xludf.DUMMYFUNCTION("IMPORTRANGE(""https://docs.google.com/spreadsheets/d/1SX6NBoVAgQJ6U1MVXOaj8PK2l7WJ3RER9xtqwdhxkhw/edit?usp=sharing"",""ปราจีนบุรี!J206"")"),0)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IFERROR(__xludf.DUMMYFUNCTION("IMPORTRANGE(""https://docs.google.com/spreadsheets/d/1SX6NBoVAgQJ6U1MVXOaj8PK2l7WJ3RER9xtqwdhxkhw/edit?usp=sharing"",""ปราจีนบุรี!J207"")"),0)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IFERROR(__xludf.DUMMYFUNCTION("IMPORTRANGE(""https://docs.google.com/spreadsheets/d/1SX6NBoVAgQJ6U1MVXOaj8PK2l7WJ3RER9xtqwdhxkhw/edit?usp=sharing"",""ปราจีนบุรี!J208"")"),0)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IFERROR(__xludf.DUMMYFUNCTION("IMPORTRANGE(""https://docs.google.com/spreadsheets/d/1SX6NBoVAgQJ6U1MVXOaj8PK2l7WJ3RER9xtqwdhxkhw/edit?usp=sharing"",""ปราจีนบุรี!I209"")"),0)</f>
        <v>0</v>
      </c>
      <c r="J304" s="204">
        <f ca="1">IFERROR(__xludf.DUMMYFUNCTION("IMPORTRANGE(""https://docs.google.com/spreadsheets/d/1SX6NBoVAgQJ6U1MVXOaj8PK2l7WJ3RER9xtqwdhxkhw/edit?usp=sharing"",""ปราจีนบุรี!J209"")"),0)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IFERROR(__xludf.DUMMYFUNCTION("IMPORTRANGE(""https://docs.google.com/spreadsheets/d/1SX6NBoVAgQJ6U1MVXOaj8PK2l7WJ3RER9xtqwdhxkhw/edit?usp=sharing"",""ปราจีนบุรี!I211"")"),0)</f>
        <v>0</v>
      </c>
      <c r="J306" s="204">
        <f ca="1">IFERROR(__xludf.DUMMYFUNCTION("IMPORTRANGE(""https://docs.google.com/spreadsheets/d/1SX6NBoVAgQJ6U1MVXOaj8PK2l7WJ3RER9xtqwdhxkhw/edit?usp=sharing"",""ปราจีนบุรี!J211"")"),0)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IFERROR(__xludf.DUMMYFUNCTION("IMPORTRANGE(""https://docs.google.com/spreadsheets/d/1SX6NBoVAgQJ6U1MVXOaj8PK2l7WJ3RER9xtqwdhxkhw/edit?usp=sharing"",""ปราจีนบุรี!J212"")"),0)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IFERROR(__xludf.DUMMYFUNCTION("IMPORTRANGE(""https://docs.google.com/spreadsheets/d/1SX6NBoVAgQJ6U1MVXOaj8PK2l7WJ3RER9xtqwdhxkhw/edit?usp=sharing"",""ปราจีนบุรี!J213"")"),0)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IFERROR(__xludf.DUMMYFUNCTION("IMPORTRANGE(""https://docs.google.com/spreadsheets/d/1SX6NBoVAgQJ6U1MVXOaj8PK2l7WJ3RER9xtqwdhxkhw/edit?usp=sharing"",""ปราจีนบุรี!I214"")"),0)</f>
        <v>0</v>
      </c>
      <c r="J309" s="334">
        <f ca="1">IFERROR(__xludf.DUMMYFUNCTION("IMPORTRANGE(""https://docs.google.com/spreadsheets/d/1SX6NBoVAgQJ6U1MVXOaj8PK2l7WJ3RER9xtqwdhxkhw/edit?usp=sharing"",""ปราจีนบุรี!J214"")"),0)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IFERROR(__xludf.DUMMYFUNCTION("IMPORTRANGE(""https://docs.google.com/spreadsheets/d/1Yj_ptqi66GCucihVvJfMjLAmec39IyEx_6qawtMGysU/edit?usp=sharing"",""สบก!DC69"")"),0)</f>
        <v>0</v>
      </c>
      <c r="N314" s="169">
        <f ca="1">IFERROR(__xludf.DUMMYFUNCTION("IMPORTRANGE(""https://docs.google.com/spreadsheets/d/1Yj_ptqi66GCucihVvJfMjLAmec39IyEx_6qawtMGysU/edit?usp=sharing"",""สบก!DD69"")"),0)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IFERROR(__xludf.DUMMYFUNCTION("IMPORTRANGE(""https://docs.google.com/spreadsheets/d/1SX6NBoVAgQJ6U1MVXOaj8PK2l7WJ3RER9xtqwdhxkhw/edit?usp=sharing"",""ปราจีนบุรี!J220"")"),0)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IFERROR(__xludf.DUMMYFUNCTION("IMPORTRANGE(""https://docs.google.com/spreadsheets/d/1SX6NBoVAgQJ6U1MVXOaj8PK2l7WJ3RER9xtqwdhxkhw/edit?usp=sharing"",""ปราจีนบุรี!J221"")"),0)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IFERROR(__xludf.DUMMYFUNCTION("IMPORTRANGE(""https://docs.google.com/spreadsheets/d/1SX6NBoVAgQJ6U1MVXOaj8PK2l7WJ3RER9xtqwdhxkhw/edit?usp=sharing"",""ปราจีนบุรี!J222"")"),0)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IFERROR(__xludf.DUMMYFUNCTION("IMPORTRANGE(""https://docs.google.com/spreadsheets/d/1SX6NBoVAgQJ6U1MVXOaj8PK2l7WJ3RER9xtqwdhxkhw/edit?usp=sharing"",""ปราจีนบุรี!J223"")"),0)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IFERROR(__xludf.DUMMYFUNCTION("IMPORTRANGE(""https://docs.google.com/spreadsheets/d/1SX6NBoVAgQJ6U1MVXOaj8PK2l7WJ3RER9xtqwdhxkhw/edit?usp=sharing"",""ปราจีนบุรี!I224"")"),0)</f>
        <v>0</v>
      </c>
      <c r="J324" s="204">
        <f ca="1">IFERROR(__xludf.DUMMYFUNCTION("IMPORTRANGE(""https://docs.google.com/spreadsheets/d/1SX6NBoVAgQJ6U1MVXOaj8PK2l7WJ3RER9xtqwdhxkhw/edit?usp=sharing"",""ปราจีนบุรี!J224"")"),0)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IFERROR(__xludf.DUMMYFUNCTION("IMPORTRANGE(""https://docs.google.com/spreadsheets/d/1SX6NBoVAgQJ6U1MVXOaj8PK2l7WJ3RER9xtqwdhxkhw/edit?usp=sharing"",""ปราจีนบุรี!J225"")"),0)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IFERROR(__xludf.DUMMYFUNCTION("IMPORTRANGE(""https://docs.google.com/spreadsheets/d/1SX6NBoVAgQJ6U1MVXOaj8PK2l7WJ3RER9xtqwdhxkhw/edit?usp=sharing"",""ปราจีนบุรี!J226"")"),0)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IFERROR(__xludf.DUMMYFUNCTION("IMPORTRANGE(""https://docs.google.com/spreadsheets/d/1SX6NBoVAgQJ6U1MVXOaj8PK2l7WJ3RER9xtqwdhxkhw/edit?usp=sharing"",""ปราจีนบุรี!I228"")"),95)</f>
        <v>95</v>
      </c>
      <c r="J328" s="340">
        <f ca="1">IFERROR(__xludf.DUMMYFUNCTION("IMPORTRANGE(""https://docs.google.com/spreadsheets/d/1SX6NBoVAgQJ6U1MVXOaj8PK2l7WJ3RER9xtqwdhxkhw/edit?usp=sharing"",""ปราจีนบุรี!J228"")"),84)</f>
        <v>84</v>
      </c>
      <c r="K328" s="318">
        <f ca="1">IF(I328&gt;0,J328*100/I328,0)</f>
        <v>88.421052631578945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880650</v>
      </c>
      <c r="M329" s="152">
        <f t="shared" ca="1" si="98"/>
        <v>753230</v>
      </c>
      <c r="N329" s="152">
        <f t="shared" ca="1" si="98"/>
        <v>564874.69999999995</v>
      </c>
      <c r="O329" s="151">
        <f t="shared" ref="O329:O331" ca="1" si="99">IF(L329&gt;0,N329*100/L329,0)</f>
        <v>64.142928518707762</v>
      </c>
      <c r="P329" s="151">
        <f t="shared" ref="P329:P331" ca="1" si="100">IF(M329&gt;0,N329*100/M329,0)</f>
        <v>74.99365399678716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880650</v>
      </c>
      <c r="M331" s="157">
        <f t="shared" ca="1" si="102"/>
        <v>753230</v>
      </c>
      <c r="N331" s="157">
        <f t="shared" ca="1" si="102"/>
        <v>564874.69999999995</v>
      </c>
      <c r="O331" s="156">
        <f t="shared" ca="1" si="99"/>
        <v>64.142928518707762</v>
      </c>
      <c r="P331" s="156">
        <f t="shared" ca="1" si="100"/>
        <v>74.99365399678716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880650</v>
      </c>
      <c r="M333" s="168">
        <f ca="1">IFERROR(__xludf.DUMMYFUNCTION("IMPORTRANGE(""https://docs.google.com/spreadsheets/d/1Yj_ptqi66GCucihVvJfMjLAmec39IyEx_6qawtMGysU/edit?usp=sharing"",""สบก!DL69"")"),753230)</f>
        <v>753230</v>
      </c>
      <c r="N333" s="169">
        <f ca="1">IFERROR(__xludf.DUMMYFUNCTION("IMPORTRANGE(""https://docs.google.com/spreadsheets/d/1Yj_ptqi66GCucihVvJfMjLAmec39IyEx_6qawtMGysU/edit?usp=sharing"",""สบก!DM69"")"),564874.7)</f>
        <v>564874.69999999995</v>
      </c>
      <c r="O333" s="169">
        <f ca="1">IF(L333&gt;0,N333*100/L333,0)</f>
        <v>64.142928518707762</v>
      </c>
      <c r="P333" s="169">
        <f ca="1">IF(M333&gt;0,N333*100/M333,0)</f>
        <v>74.99365399678716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IFERROR(__xludf.DUMMYFUNCTION("IMPORTRANGE(""https://docs.google.com/spreadsheets/d/1Yj_ptqi66GCucihVvJfMjLAmec39IyEx_6qawtMGysU/edit?usp=sharing"",""สบก!DH69"")"),583200)</f>
        <v>583200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IFERROR(__xludf.DUMMYFUNCTION("IMPORTRANGE(""https://docs.google.com/spreadsheets/d/1Yj_ptqi66GCucihVvJfMjLAmec39IyEx_6qawtMGysU/edit?usp=sharing"",""สบก!DI69"")"),297450)</f>
        <v>297450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IFERROR(__xludf.DUMMYFUNCTION("IMPORTRANGE(""https://docs.google.com/spreadsheets/d/1SX6NBoVAgQJ6U1MVXOaj8PK2l7WJ3RER9xtqwdhxkhw/edit?usp=sharing"",""ปราจีนบุรี!I234"")"),0)</f>
        <v>0</v>
      </c>
      <c r="J339" s="188">
        <f ca="1">IFERROR(__xludf.DUMMYFUNCTION("IMPORTRANGE(""https://docs.google.com/spreadsheets/d/1SX6NBoVAgQJ6U1MVXOaj8PK2l7WJ3RER9xtqwdhxkhw/edit?usp=sharing"",""ปราจีนบุรี!J234"")"),78)</f>
        <v>78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IFERROR(__xludf.DUMMYFUNCTION("IMPORTRANGE(""https://docs.google.com/spreadsheets/d/1SX6NBoVAgQJ6U1MVXOaj8PK2l7WJ3RER9xtqwdhxkhw/edit?usp=sharing"",""ปราจีนบุรี!I235"")"),1400)</f>
        <v>1400</v>
      </c>
      <c r="J340" s="188">
        <f ca="1">IFERROR(__xludf.DUMMYFUNCTION("IMPORTRANGE(""https://docs.google.com/spreadsheets/d/1SX6NBoVAgQJ6U1MVXOaj8PK2l7WJ3RER9xtqwdhxkhw/edit?usp=sharing"",""ปราจีนบุรี!J235"")"),1070.81)</f>
        <v>1070.81</v>
      </c>
      <c r="K340" s="343">
        <f t="shared" ca="1" si="103"/>
        <v>76.486428571428576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IFERROR(__xludf.DUMMYFUNCTION("IMPORTRANGE(""https://docs.google.com/spreadsheets/d/1SX6NBoVAgQJ6U1MVXOaj8PK2l7WJ3RER9xtqwdhxkhw/edit?usp=sharing"",""ปราจีนบุรี!I236"")"),95)</f>
        <v>95</v>
      </c>
      <c r="J341" s="188">
        <f ca="1">IFERROR(__xludf.DUMMYFUNCTION("IMPORTRANGE(""https://docs.google.com/spreadsheets/d/1SX6NBoVAgQJ6U1MVXOaj8PK2l7WJ3RER9xtqwdhxkhw/edit?usp=sharing"",""ปราจีนบุรี!J236"")"),103)</f>
        <v>103</v>
      </c>
      <c r="K341" s="343">
        <f t="shared" ca="1" si="103"/>
        <v>108.42105263157895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8">
        <f ca="1">IFERROR(__xludf.DUMMYFUNCTION("IMPORTRANGE(""https://docs.google.com/spreadsheets/d/1SX6NBoVAgQJ6U1MVXOaj8PK2l7WJ3RER9xtqwdhxkhw/edit?usp=sharing"",""ปราจีนบุรี!J237"")"),1730.73)</f>
        <v>1730.73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IFERROR(__xludf.DUMMYFUNCTION("IMPORTRANGE(""https://docs.google.com/spreadsheets/d/1SX6NBoVAgQJ6U1MVXOaj8PK2l7WJ3RER9xtqwdhxkhw/edit?usp=sharing"",""ปราจีนบุรี!I238"")"),95)</f>
        <v>95</v>
      </c>
      <c r="J343" s="188">
        <f ca="1">IFERROR(__xludf.DUMMYFUNCTION("IMPORTRANGE(""https://docs.google.com/spreadsheets/d/1SX6NBoVAgQJ6U1MVXOaj8PK2l7WJ3RER9xtqwdhxkhw/edit?usp=sharing"",""ปราจีนบุรี!J238"")"),0)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8">
        <f ca="1">IFERROR(__xludf.DUMMYFUNCTION("IMPORTRANGE(""https://docs.google.com/spreadsheets/d/1SX6NBoVAgQJ6U1MVXOaj8PK2l7WJ3RER9xtqwdhxkhw/edit?usp=sharing"",""ปราจีนบุรี!J239"")"),0)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IFERROR(__xludf.DUMMYFUNCTION("IMPORTRANGE(""https://docs.google.com/spreadsheets/d/1SX6NBoVAgQJ6U1MVXOaj8PK2l7WJ3RER9xtqwdhxkhw/edit?usp=sharing"",""ปราจีนบุรี!I240"")"),95)</f>
        <v>95</v>
      </c>
      <c r="J345" s="188">
        <f ca="1">IFERROR(__xludf.DUMMYFUNCTION("IMPORTRANGE(""https://docs.google.com/spreadsheets/d/1SX6NBoVAgQJ6U1MVXOaj8PK2l7WJ3RER9xtqwdhxkhw/edit?usp=sharing"",""ปราจีนบุรี!J240"")"),84)</f>
        <v>84</v>
      </c>
      <c r="K345" s="343">
        <f t="shared" ca="1" si="103"/>
        <v>88.421052631578945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8">
        <f ca="1">IFERROR(__xludf.DUMMYFUNCTION("IMPORTRANGE(""https://docs.google.com/spreadsheets/d/1SX6NBoVAgQJ6U1MVXOaj8PK2l7WJ3RER9xtqwdhxkhw/edit?usp=sharing"",""ปราจีนบุรี!J241"")"),1490.6)</f>
        <v>1490.6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IFERROR(__xludf.DUMMYFUNCTION("IMPORTRANGE(""https://docs.google.com/spreadsheets/d/1SX6NBoVAgQJ6U1MVXOaj8PK2l7WJ3RER9xtqwdhxkhw/edit?usp=sharing"",""ปราจีนบุรี!L242"")"),820026)</f>
        <v>820026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IFERROR(__xludf.DUMMYFUNCTION("IMPORTRANGE(""https://docs.google.com/spreadsheets/d/1SX6NBoVAgQJ6U1MVXOaj8PK2l7WJ3RER9xtqwdhxkhw/edit?usp=sharing"",""ปราจีนบุรี!M242"")"),400336)</f>
        <v>400336</v>
      </c>
      <c r="O347" s="358">
        <f ca="1">+IF(L347&gt;0,N347*100/L347,0)</f>
        <v>48.819915466094976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IFERROR(__xludf.DUMMYFUNCTION("IMPORTRANGE(""https://docs.google.com/spreadsheets/d/1SX6NBoVAgQJ6U1MVXOaj8PK2l7WJ3RER9xtqwdhxkhw/edit?usp=sharing"",""ปราจีนบุรี!L244"")"),93120)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IFERROR(__xludf.DUMMYFUNCTION("IMPORTRANGE(""https://docs.google.com/spreadsheets/d/1SX6NBoVAgQJ6U1MVXOaj8PK2l7WJ3RER9xtqwdhxkhw/edit?usp=sharing"",""ปราจีนบุรี!M244"")"),88355)</f>
        <v>88355</v>
      </c>
      <c r="O349" s="373">
        <f ca="1">+IF(L349&gt;0,N349*100/L349,0)</f>
        <v>94.882946735395194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IFERROR(__xludf.DUMMYFUNCTION("IMPORTRANGE(""https://docs.google.com/spreadsheets/d/1SX6NBoVAgQJ6U1MVXOaj8PK2l7WJ3RER9xtqwdhxkhw/edit?usp=sharing"",""ปราจีนบุรี!L246"")"),0)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IFERROR(__xludf.DUMMYFUNCTION("IMPORTRANGE(""https://docs.google.com/spreadsheets/d/1SX6NBoVAgQJ6U1MVXOaj8PK2l7WJ3RER9xtqwdhxkhw/edit?usp=sharing"",""ปราจีนบุรี!M246"")"),0)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IFERROR(__xludf.DUMMYFUNCTION("IMPORTRANGE(""https://docs.google.com/spreadsheets/d/1SX6NBoVAgQJ6U1MVXOaj8PK2l7WJ3RER9xtqwdhxkhw/edit?usp=sharing"",""ปราจีนบุรี!L247"")"),93120)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IFERROR(__xludf.DUMMYFUNCTION("IMPORTRANGE(""https://docs.google.com/spreadsheets/d/1SX6NBoVAgQJ6U1MVXOaj8PK2l7WJ3RER9xtqwdhxkhw/edit?usp=sharing"",""ปราจีนบุรี!M247"")"),88355)</f>
        <v>88355</v>
      </c>
      <c r="O352" s="165">
        <f t="shared" ca="1" si="105"/>
        <v>94.882946735395194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IFERROR(__xludf.DUMMYFUNCTION("IMPORTRANGE(""https://docs.google.com/spreadsheets/d/1SX6NBoVAgQJ6U1MVXOaj8PK2l7WJ3RER9xtqwdhxkhw/edit?usp=sharing"",""ปราจีนบุรี!L248"")"),0)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IFERROR(__xludf.DUMMYFUNCTION("IMPORTRANGE(""https://docs.google.com/spreadsheets/d/1SX6NBoVAgQJ6U1MVXOaj8PK2l7WJ3RER9xtqwdhxkhw/edit?usp=sharing"",""ปราจีนบุรี!M248"")"),0)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IFERROR(__xludf.DUMMYFUNCTION("IMPORTRANGE(""https://docs.google.com/spreadsheets/d/1SX6NBoVAgQJ6U1MVXOaj8PK2l7WJ3RER9xtqwdhxkhw/edit?usp=sharing"",""ปราจีนบุรี!L249"")"),93120)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IFERROR(__xludf.DUMMYFUNCTION("IMPORTRANGE(""https://docs.google.com/spreadsheets/d/1SX6NBoVAgQJ6U1MVXOaj8PK2l7WJ3RER9xtqwdhxkhw/edit?usp=sharing"",""ปราจีนบุรี!M249"")"),88355)</f>
        <v>88355</v>
      </c>
      <c r="O354" s="169">
        <f t="shared" ca="1" si="105"/>
        <v>94.882946735395194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IFERROR(__xludf.DUMMYFUNCTION("IMPORTRANGE(""https://docs.google.com/spreadsheets/d/1SX6NBoVAgQJ6U1MVXOaj8PK2l7WJ3RER9xtqwdhxkhw/edit?usp=sharing"",""ปราจีนบุรี!M250"")"),27600)</f>
        <v>27600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IFERROR(__xludf.DUMMYFUNCTION("IMPORTRANGE(""https://docs.google.com/spreadsheets/d/1SX6NBoVAgQJ6U1MVXOaj8PK2l7WJ3RER9xtqwdhxkhw/edit?usp=sharing"",""ปราจีนบุรี!M251"")"),47000)</f>
        <v>47000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IFERROR(__xludf.DUMMYFUNCTION("IMPORTRANGE(""https://docs.google.com/spreadsheets/d/1SX6NBoVAgQJ6U1MVXOaj8PK2l7WJ3RER9xtqwdhxkhw/edit?usp=sharing"",""ปราจีนบุรี!M253"")"),13755)</f>
        <v>13755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IFERROR(__xludf.DUMMYFUNCTION("IMPORTRANGE(""https://docs.google.com/spreadsheets/d/1SX6NBoVAgQJ6U1MVXOaj8PK2l7WJ3RER9xtqwdhxkhw/edit?usp=sharing"",""ปราจีนบุรี!J255"")"),0)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IFERROR(__xludf.DUMMYFUNCTION("IMPORTRANGE(""https://docs.google.com/spreadsheets/d/1SX6NBoVAgQJ6U1MVXOaj8PK2l7WJ3RER9xtqwdhxkhw/edit?usp=sharing"",""ปราจีนบุรี!J256"")"),1)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IFERROR(__xludf.DUMMYFUNCTION("IMPORTRANGE(""https://docs.google.com/spreadsheets/d/1SX6NBoVAgQJ6U1MVXOaj8PK2l7WJ3RER9xtqwdhxkhw/edit?usp=sharing"",""ปราจีนบุรี!J257"")"),1)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IFERROR(__xludf.DUMMYFUNCTION("IMPORTRANGE(""https://docs.google.com/spreadsheets/d/1SX6NBoVAgQJ6U1MVXOaj8PK2l7WJ3RER9xtqwdhxkhw/edit?usp=sharing"",""ปราจีนบุรี!J258"")"),1)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IFERROR(__xludf.DUMMYFUNCTION("IMPORTRANGE(""https://docs.google.com/spreadsheets/d/1SX6NBoVAgQJ6U1MVXOaj8PK2l7WJ3RER9xtqwdhxkhw/edit?usp=sharing"",""ปราจีนบุรี!J166"")"),0)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IFERROR(__xludf.DUMMYFUNCTION("IMPORTRANGE(""https://docs.google.com/spreadsheets/d/1SX6NBoVAgQJ6U1MVXOaj8PK2l7WJ3RER9xtqwdhxkhw/edit?usp=sharing"",""ปราจีนบุรี!J166"")"),0)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IFERROR(__xludf.DUMMYFUNCTION("IMPORTRANGE(""https://docs.google.com/spreadsheets/d/1SX6NBoVAgQJ6U1MVXOaj8PK2l7WJ3RER9xtqwdhxkhw/edit?usp=sharing"",""ปราจีนบุรี!J166"")"),0)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IFERROR(__xludf.DUMMYFUNCTION("IMPORTRANGE(""https://docs.google.com/spreadsheets/d/1SX6NBoVAgQJ6U1MVXOaj8PK2l7WJ3RER9xtqwdhxkhw/edit?usp=sharing"",""ปราจีนบุรี!J166"")"),0)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IFERROR(__xludf.DUMMYFUNCTION("IMPORTRANGE(""https://docs.google.com/spreadsheets/d/1SX6NBoVAgQJ6U1MVXOaj8PK2l7WJ3RER9xtqwdhxkhw/edit?usp=sharing"",""ปราจีนบุรี!I263"")"),20)</f>
        <v>20</v>
      </c>
      <c r="J368" s="188">
        <f ca="1">IFERROR(__xludf.DUMMYFUNCTION("IMPORTRANGE(""https://docs.google.com/spreadsheets/d/1SX6NBoVAgQJ6U1MVXOaj8PK2l7WJ3RER9xtqwdhxkhw/edit?usp=sharing"",""ปราจีนบุรี!J263"")"),20)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IFERROR(__xludf.DUMMYFUNCTION("IMPORTRANGE(""https://docs.google.com/spreadsheets/d/1SX6NBoVAgQJ6U1MVXOaj8PK2l7WJ3RER9xtqwdhxkhw/edit?usp=sharing"",""ปราจีนบุรี!I164"")"),0)</f>
        <v>0</v>
      </c>
      <c r="J369" s="204">
        <f ca="1">IFERROR(__xludf.DUMMYFUNCTION("IMPORTRANGE(""https://docs.google.com/spreadsheets/d/1SX6NBoVAgQJ6U1MVXOaj8PK2l7WJ3RER9xtqwdhxkhw/edit?usp=sharing"",""ปราจีนบุรี!J164"")"),0)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IFERROR(__xludf.DUMMYFUNCTION("IMPORTRANGE(""https://docs.google.com/spreadsheets/d/1SX6NBoVAgQJ6U1MVXOaj8PK2l7WJ3RER9xtqwdhxkhw/edit?usp=sharing"",""ปราจีนบุรี!I265"")"),20)</f>
        <v>20</v>
      </c>
      <c r="J370" s="204">
        <f ca="1">IFERROR(__xludf.DUMMYFUNCTION("IMPORTRANGE(""https://docs.google.com/spreadsheets/d/1SX6NBoVAgQJ6U1MVXOaj8PK2l7WJ3RER9xtqwdhxkhw/edit?usp=sharing"",""ปราจีนบุรี!J265"")"),20)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IFERROR(__xludf.DUMMYFUNCTION("IMPORTRANGE(""https://docs.google.com/spreadsheets/d/1SX6NBoVAgQJ6U1MVXOaj8PK2l7WJ3RER9xtqwdhxkhw/edit?usp=sharing"",""ปราจีนบุรี!I164"")"),0)</f>
        <v>0</v>
      </c>
      <c r="J371" s="189">
        <f ca="1">IFERROR(__xludf.DUMMYFUNCTION("IMPORTRANGE(""https://docs.google.com/spreadsheets/d/1SX6NBoVAgQJ6U1MVXOaj8PK2l7WJ3RER9xtqwdhxkhw/edit?usp=sharing"",""ปราจีนบุรี!J164"")"),0)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IFERROR(__xludf.DUMMYFUNCTION("IMPORTRANGE(""https://docs.google.com/spreadsheets/d/1SX6NBoVAgQJ6U1MVXOaj8PK2l7WJ3RER9xtqwdhxkhw/edit?usp=sharing"",""ปราจีนบุรี!I267"")"),20)</f>
        <v>20</v>
      </c>
      <c r="J372" s="189">
        <f ca="1">IFERROR(__xludf.DUMMYFUNCTION("IMPORTRANGE(""https://docs.google.com/spreadsheets/d/1SX6NBoVAgQJ6U1MVXOaj8PK2l7WJ3RER9xtqwdhxkhw/edit?usp=sharing"",""ปราจีนบุรี!J267"")"),20)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IFERROR(__xludf.DUMMYFUNCTION("IMPORTRANGE(""https://docs.google.com/spreadsheets/d/1SX6NBoVAgQJ6U1MVXOaj8PK2l7WJ3RER9xtqwdhxkhw/edit?usp=sharing"",""ปราจีนบุรี!I164"")"),0)</f>
        <v>0</v>
      </c>
      <c r="J373" s="204">
        <f ca="1">IFERROR(__xludf.DUMMYFUNCTION("IMPORTRANGE(""https://docs.google.com/spreadsheets/d/1SX6NBoVAgQJ6U1MVXOaj8PK2l7WJ3RER9xtqwdhxkhw/edit?usp=sharing"",""ปราจีนบุรี!J164"")"),0)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IFERROR(__xludf.DUMMYFUNCTION("IMPORTRANGE(""https://docs.google.com/spreadsheets/d/1SX6NBoVAgQJ6U1MVXOaj8PK2l7WJ3RER9xtqwdhxkhw/edit?usp=sharing"",""ปราจีนบุรี!I164"")"),0)</f>
        <v>0</v>
      </c>
      <c r="J374" s="188">
        <f ca="1">IFERROR(__xludf.DUMMYFUNCTION("IMPORTRANGE(""https://docs.google.com/spreadsheets/d/1SX6NBoVAgQJ6U1MVXOaj8PK2l7WJ3RER9xtqwdhxkhw/edit?usp=sharing"",""ปราจีนบุรี!J164"")"),0)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IFERROR(__xludf.DUMMYFUNCTION("IMPORTRANGE(""https://docs.google.com/spreadsheets/d/1SX6NBoVAgQJ6U1MVXOaj8PK2l7WJ3RER9xtqwdhxkhw/edit?usp=sharing"",""ปราจีนบุรี!I270"")"),60)</f>
        <v>60</v>
      </c>
      <c r="J375" s="188">
        <f ca="1">IFERROR(__xludf.DUMMYFUNCTION("IMPORTRANGE(""https://docs.google.com/spreadsheets/d/1SX6NBoVAgQJ6U1MVXOaj8PK2l7WJ3RER9xtqwdhxkhw/edit?usp=sharing"",""ปราจีนบุรี!J270"")"),60)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IFERROR(__xludf.DUMMYFUNCTION("IMPORTRANGE(""https://docs.google.com/spreadsheets/d/1SX6NBoVAgQJ6U1MVXOaj8PK2l7WJ3RER9xtqwdhxkhw/edit?usp=sharing"",""ปราจีนบุรี!I271"")"),0)</f>
        <v>0</v>
      </c>
      <c r="J376" s="189">
        <f ca="1">IFERROR(__xludf.DUMMYFUNCTION("IMPORTRANGE(""https://docs.google.com/spreadsheets/d/1SX6NBoVAgQJ6U1MVXOaj8PK2l7WJ3RER9xtqwdhxkhw/edit?usp=sharing"",""ปราจีนบุรี!J271"")"),0)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IFERROR(__xludf.DUMMYFUNCTION("IMPORTRANGE(""https://docs.google.com/spreadsheets/d/1SX6NBoVAgQJ6U1MVXOaj8PK2l7WJ3RER9xtqwdhxkhw/edit?usp=sharing"",""ปราจีนบุรี!I272"")"),60)</f>
        <v>60</v>
      </c>
      <c r="J377" s="204">
        <f ca="1">IFERROR(__xludf.DUMMYFUNCTION("IMPORTRANGE(""https://docs.google.com/spreadsheets/d/1SX6NBoVAgQJ6U1MVXOaj8PK2l7WJ3RER9xtqwdhxkhw/edit?usp=sharing"",""ปราจีนบุรี!J272"")"),60)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IFERROR(__xludf.DUMMYFUNCTION("IMPORTRANGE(""https://docs.google.com/spreadsheets/d/1SX6NBoVAgQJ6U1MVXOaj8PK2l7WJ3RER9xtqwdhxkhw/edit?usp=sharing"",""ปราจีนบุรี!J273"")"),0)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IFERROR(__xludf.DUMMYFUNCTION("IMPORTRANGE(""https://docs.google.com/spreadsheets/d/1SX6NBoVAgQJ6U1MVXOaj8PK2l7WJ3RER9xtqwdhxkhw/edit?usp=sharing"",""ปราจีนบุรี!J274"")"),0)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IFERROR(__xludf.DUMMYFUNCTION("IMPORTRANGE(""https://docs.google.com/spreadsheets/d/1SX6NBoVAgQJ6U1MVXOaj8PK2l7WJ3RER9xtqwdhxkhw/edit?usp=sharing"",""ปราจีนบุรี!M275"")"),74520)</f>
        <v>74520</v>
      </c>
      <c r="O380" s="373">
        <f ca="1">+IF(L380&gt;0,N380*100/L380,0)</f>
        <v>35.902871458855273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IFERROR(__xludf.DUMMYFUNCTION("IMPORTRANGE(""https://docs.google.com/spreadsheets/d/1SX6NBoVAgQJ6U1MVXOaj8PK2l7WJ3RER9xtqwdhxkhw/edit?usp=sharing"",""ปราจีนบุรี!L277"")"),0)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IFERROR(__xludf.DUMMYFUNCTION("IMPORTRANGE(""https://docs.google.com/spreadsheets/d/1SX6NBoVAgQJ6U1MVXOaj8PK2l7WJ3RER9xtqwdhxkhw/edit?usp=sharing"",""ปราจีนบุรี!M277"")"),0)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IFERROR(__xludf.DUMMYFUNCTION("IMPORTRANGE(""https://docs.google.com/spreadsheets/d/1SX6NBoVAgQJ6U1MVXOaj8PK2l7WJ3RER9xtqwdhxkhw/edit?usp=sharing"",""ปราจีนบุรี!M278"")"),74520)</f>
        <v>74520</v>
      </c>
      <c r="O383" s="165">
        <f t="shared" ca="1" si="109"/>
        <v>35.902871458855273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IFERROR(__xludf.DUMMYFUNCTION("IMPORTRANGE(""https://docs.google.com/spreadsheets/d/1SX6NBoVAgQJ6U1MVXOaj8PK2l7WJ3RER9xtqwdhxkhw/edit?usp=sharing"",""ปราจีนบุรี!L279"")"),0)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IFERROR(__xludf.DUMMYFUNCTION("IMPORTRANGE(""https://docs.google.com/spreadsheets/d/1SX6NBoVAgQJ6U1MVXOaj8PK2l7WJ3RER9xtqwdhxkhw/edit?usp=sharing"",""ปราจีนบุรี!M279"")"),0)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IFERROR(__xludf.DUMMYFUNCTION("IMPORTRANGE(""https://docs.google.com/spreadsheets/d/1SX6NBoVAgQJ6U1MVXOaj8PK2l7WJ3RER9xtqwdhxkhw/edit?usp=sharing"",""ปราจีนบุรี!L280"")"),207560)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IFERROR(__xludf.DUMMYFUNCTION("IMPORTRANGE(""https://docs.google.com/spreadsheets/d/1SX6NBoVAgQJ6U1MVXOaj8PK2l7WJ3RER9xtqwdhxkhw/edit?usp=sharing"",""ปราจีนบุรี!M280"")"),74520)</f>
        <v>74520</v>
      </c>
      <c r="O385" s="169">
        <f t="shared" ca="1" si="109"/>
        <v>35.902871458855273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IFERROR(__xludf.DUMMYFUNCTION("IMPORTRANGE(""https://docs.google.com/spreadsheets/d/1SX6NBoVAgQJ6U1MVXOaj8PK2l7WJ3RER9xtqwdhxkhw/edit?usp=sharing"",""ปราจีนบุรี!M281"")"),58800)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IFERROR(__xludf.DUMMYFUNCTION("IMPORTRANGE(""https://docs.google.com/spreadsheets/d/1SX6NBoVAgQJ6U1MVXOaj8PK2l7WJ3RER9xtqwdhxkhw/edit?usp=sharing"",""ปราจีนบุรี!M282"")"),0)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IFERROR(__xludf.DUMMYFUNCTION("IMPORTRANGE(""https://docs.google.com/spreadsheets/d/1SX6NBoVAgQJ6U1MVXOaj8PK2l7WJ3RER9xtqwdhxkhw/edit?usp=sharing"",""ปราจีนบุรี!M284"")"),15720)</f>
        <v>15720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IFERROR(__xludf.DUMMYFUNCTION("IMPORTRANGE(""https://docs.google.com/spreadsheets/d/1SX6NBoVAgQJ6U1MVXOaj8PK2l7WJ3RER9xtqwdhxkhw/edit?usp=sharing"",""ปราจีนบุรี!J286"")"),0)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IFERROR(__xludf.DUMMYFUNCTION("IMPORTRANGE(""https://docs.google.com/spreadsheets/d/1SX6NBoVAgQJ6U1MVXOaj8PK2l7WJ3RER9xtqwdhxkhw/edit?usp=sharing"",""ปราจีนบุรี!J287"")"),1)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IFERROR(__xludf.DUMMYFUNCTION("IMPORTRANGE(""https://docs.google.com/spreadsheets/d/1SX6NBoVAgQJ6U1MVXOaj8PK2l7WJ3RER9xtqwdhxkhw/edit?usp=sharing"",""ปราจีนบุรี!J288"")"),1)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IFERROR(__xludf.DUMMYFUNCTION("IMPORTRANGE(""https://docs.google.com/spreadsheets/d/1SX6NBoVAgQJ6U1MVXOaj8PK2l7WJ3RER9xtqwdhxkhw/edit?usp=sharing"",""ปราจีนบุรี!J289"")"),1)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IFERROR(__xludf.DUMMYFUNCTION("IMPORTRANGE(""https://docs.google.com/spreadsheets/d/1SX6NBoVAgQJ6U1MVXOaj8PK2l7WJ3RER9xtqwdhxkhw/edit?usp=sharing"",""ปราจีนบุรี!I291"")"),20)</f>
        <v>20</v>
      </c>
      <c r="J396" s="198">
        <f ca="1">IFERROR(__xludf.DUMMYFUNCTION("IMPORTRANGE(""https://docs.google.com/spreadsheets/d/1SX6NBoVAgQJ6U1MVXOaj8PK2l7WJ3RER9xtqwdhxkhw/edit?usp=sharing"",""ปราจีนบุรี!J291"")"),20)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IFERROR(__xludf.DUMMYFUNCTION("IMPORTRANGE(""https://docs.google.com/spreadsheets/d/1SX6NBoVAgQJ6U1MVXOaj8PK2l7WJ3RER9xtqwdhxkhw/edit?usp=sharing"",""ปราจีนบุรี!I292"")"),200)</f>
        <v>200</v>
      </c>
      <c r="J397" s="198">
        <f ca="1">IFERROR(__xludf.DUMMYFUNCTION("IMPORTRANGE(""https://docs.google.com/spreadsheets/d/1SX6NBoVAgQJ6U1MVXOaj8PK2l7WJ3RER9xtqwdhxkhw/edit?usp=sharing"",""ปราจีนบุรี!J292"")"),0)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IFERROR(__xludf.DUMMYFUNCTION("IMPORTRANGE(""https://docs.google.com/spreadsheets/d/1SX6NBoVAgQJ6U1MVXOaj8PK2l7WJ3RER9xtqwdhxkhw/edit?usp=sharing"",""ปราจีนบุรี!I293"")"),20)</f>
        <v>20</v>
      </c>
      <c r="J398" s="198">
        <f ca="1">IFERROR(__xludf.DUMMYFUNCTION("IMPORTRANGE(""https://docs.google.com/spreadsheets/d/1SX6NBoVAgQJ6U1MVXOaj8PK2l7WJ3RER9xtqwdhxkhw/edit?usp=sharing"",""ปราจีนบุรี!J293"")"),0)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IFERROR(__xludf.DUMMYFUNCTION("IMPORTRANGE(""https://docs.google.com/spreadsheets/d/1SX6NBoVAgQJ6U1MVXOaj8PK2l7WJ3RER9xtqwdhxkhw/edit?usp=sharing"",""ปราจีนบุรี!J294"")"),0)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IFERROR(__xludf.DUMMYFUNCTION("IMPORTRANGE(""https://docs.google.com/spreadsheets/d/1SX6NBoVAgQJ6U1MVXOaj8PK2l7WJ3RER9xtqwdhxkhw/edit?usp=sharing"",""ปราจีนบุรี!J295"")"),0)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IFERROR(__xludf.DUMMYFUNCTION("IMPORTRANGE(""https://docs.google.com/spreadsheets/d/1SX6NBoVAgQJ6U1MVXOaj8PK2l7WJ3RER9xtqwdhxkhw/edit?usp=sharing"",""ปราจีนบุรี!M296"")"),74380)</f>
        <v>74380</v>
      </c>
      <c r="O401" s="373">
        <f ca="1">+IF(L401&gt;0,N401*100/L401,0)</f>
        <v>63.944291609353506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IFERROR(__xludf.DUMMYFUNCTION("IMPORTRANGE(""https://docs.google.com/spreadsheets/d/1SX6NBoVAgQJ6U1MVXOaj8PK2l7WJ3RER9xtqwdhxkhw/edit?usp=sharing"",""ปราจีนบุรี!L298"")"),0)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IFERROR(__xludf.DUMMYFUNCTION("IMPORTRANGE(""https://docs.google.com/spreadsheets/d/1SX6NBoVAgQJ6U1MVXOaj8PK2l7WJ3RER9xtqwdhxkhw/edit?usp=sharing"",""ปราจีนบุรี!M298"")"),0)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IFERROR(__xludf.DUMMYFUNCTION("IMPORTRANGE(""https://docs.google.com/spreadsheets/d/1SX6NBoVAgQJ6U1MVXOaj8PK2l7WJ3RER9xtqwdhxkhw/edit?usp=sharing"",""ปราจีนบุรี!M299"")"),74380)</f>
        <v>74380</v>
      </c>
      <c r="O404" s="169">
        <f t="shared" ca="1" si="112"/>
        <v>63.944291609353506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IFERROR(__xludf.DUMMYFUNCTION("IMPORTRANGE(""https://docs.google.com/spreadsheets/d/1SX6NBoVAgQJ6U1MVXOaj8PK2l7WJ3RER9xtqwdhxkhw/edit?usp=sharing"",""ปราจีนบุรี!L300"")"),0)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IFERROR(__xludf.DUMMYFUNCTION("IMPORTRANGE(""https://docs.google.com/spreadsheets/d/1SX6NBoVAgQJ6U1MVXOaj8PK2l7WJ3RER9xtqwdhxkhw/edit?usp=sharing"",""ปราจีนบุรี!M300"")"),0)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IFERROR(__xludf.DUMMYFUNCTION("IMPORTRANGE(""https://docs.google.com/spreadsheets/d/1SX6NBoVAgQJ6U1MVXOaj8PK2l7WJ3RER9xtqwdhxkhw/edit?usp=sharing"",""ปราจีนบุรี!L301"")"),116320)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IFERROR(__xludf.DUMMYFUNCTION("IMPORTRANGE(""https://docs.google.com/spreadsheets/d/1SX6NBoVAgQJ6U1MVXOaj8PK2l7WJ3RER9xtqwdhxkhw/edit?usp=sharing"",""ปราจีนบุรี!M301"")"),74380)</f>
        <v>74380</v>
      </c>
      <c r="O406" s="169">
        <f t="shared" ca="1" si="112"/>
        <v>63.944291609353506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IFERROR(__xludf.DUMMYFUNCTION("IMPORTRANGE(""https://docs.google.com/spreadsheets/d/1SX6NBoVAgQJ6U1MVXOaj8PK2l7WJ3RER9xtqwdhxkhw/edit?usp=sharing"",""ปราจีนบุรี!M302"")"),53440)</f>
        <v>53440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IFERROR(__xludf.DUMMYFUNCTION("IMPORTRANGE(""https://docs.google.com/spreadsheets/d/1SX6NBoVAgQJ6U1MVXOaj8PK2l7WJ3RER9xtqwdhxkhw/edit?usp=sharing"",""ปราจีนบุรี!M303"")"),0)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IFERROR(__xludf.DUMMYFUNCTION("IMPORTRANGE(""https://docs.google.com/spreadsheets/d/1SX6NBoVAgQJ6U1MVXOaj8PK2l7WJ3RER9xtqwdhxkhw/edit?usp=sharing"",""ปราจีนบุรี!M305"")"),20940)</f>
        <v>20940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IFERROR(__xludf.DUMMYFUNCTION("IMPORTRANGE(""https://docs.google.com/spreadsheets/d/1SX6NBoVAgQJ6U1MVXOaj8PK2l7WJ3RER9xtqwdhxkhw/edit?usp=sharing"",""ปราจีนบุรี!J307"")"),0)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IFERROR(__xludf.DUMMYFUNCTION("IMPORTRANGE(""https://docs.google.com/spreadsheets/d/1SX6NBoVAgQJ6U1MVXOaj8PK2l7WJ3RER9xtqwdhxkhw/edit?usp=sharing"",""ปราจีนบุรี!J308"")"),1)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IFERROR(__xludf.DUMMYFUNCTION("IMPORTRANGE(""https://docs.google.com/spreadsheets/d/1SX6NBoVAgQJ6U1MVXOaj8PK2l7WJ3RER9xtqwdhxkhw/edit?usp=sharing"",""ปราจีนบุรี!J309"")"),1)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IFERROR(__xludf.DUMMYFUNCTION("IMPORTRANGE(""https://docs.google.com/spreadsheets/d/1SX6NBoVAgQJ6U1MVXOaj8PK2l7WJ3RER9xtqwdhxkhw/edit?usp=sharing"",""ปราจีนบุรี!J310"")"),1)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IFERROR(__xludf.DUMMYFUNCTION("IMPORTRANGE(""https://docs.google.com/spreadsheets/d/1SX6NBoVAgQJ6U1MVXOaj8PK2l7WJ3RER9xtqwdhxkhw/edit?usp=sharing"",""ปราจีนบุรี!I311"")"),30)</f>
        <v>30</v>
      </c>
      <c r="J416" s="201">
        <f ca="1">IFERROR(__xludf.DUMMYFUNCTION("IMPORTRANGE(""https://docs.google.com/spreadsheets/d/1SX6NBoVAgQJ6U1MVXOaj8PK2l7WJ3RER9xtqwdhxkhw/edit?usp=sharing"",""ปราจีนบุรี!J311"")"),30)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IFERROR(__xludf.DUMMYFUNCTION("IMPORTRANGE(""https://docs.google.com/spreadsheets/d/1SX6NBoVAgQJ6U1MVXOaj8PK2l7WJ3RER9xtqwdhxkhw/edit?usp=sharing"",""ปราจีนบุรี!J328"")"),0)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IFERROR(__xludf.DUMMYFUNCTION("IMPORTRANGE(""https://docs.google.com/spreadsheets/d/1SX6NBoVAgQJ6U1MVXOaj8PK2l7WJ3RER9xtqwdhxkhw/edit?usp=sharing"",""ปราจีนบุรี!J329"")"),0)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IFERROR(__xludf.DUMMYFUNCTION("IMPORTRANGE(""https://docs.google.com/spreadsheets/d/1SX6NBoVAgQJ6U1MVXOaj8PK2l7WJ3RER9xtqwdhxkhw/edit?usp=sharing"",""ปราจีนบุรี!M330"")"),64520)</f>
        <v>64520</v>
      </c>
      <c r="O435" s="412">
        <f t="shared" ref="O435:O439" ca="1" si="114">+IF(L435&gt;0,N435*100/L435,0)</f>
        <v>84.89473684210526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IFERROR(__xludf.DUMMYFUNCTION("IMPORTRANGE(""https://docs.google.com/spreadsheets/d/1SX6NBoVAgQJ6U1MVXOaj8PK2l7WJ3RER9xtqwdhxkhw/edit?usp=sharing"",""ปราจีนบุรี!L331"")"),0)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IFERROR(__xludf.DUMMYFUNCTION("IMPORTRANGE(""https://docs.google.com/spreadsheets/d/1SX6NBoVAgQJ6U1MVXOaj8PK2l7WJ3RER9xtqwdhxkhw/edit?usp=sharing"",""ปราจีนบุรี!M331"")"),0)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IFERROR(__xludf.DUMMYFUNCTION("IMPORTRANGE(""https://docs.google.com/spreadsheets/d/1SX6NBoVAgQJ6U1MVXOaj8PK2l7WJ3RER9xtqwdhxkhw/edit?usp=sharing"",""ปราจีนบุรี!L332"")"),76000)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IFERROR(__xludf.DUMMYFUNCTION("IMPORTRANGE(""https://docs.google.com/spreadsheets/d/1SX6NBoVAgQJ6U1MVXOaj8PK2l7WJ3RER9xtqwdhxkhw/edit?usp=sharing"",""ปราจีนบุรี!M332"")"),64520)</f>
        <v>64520</v>
      </c>
      <c r="O437" s="169">
        <f t="shared" ca="1" si="114"/>
        <v>84.89473684210526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IFERROR(__xludf.DUMMYFUNCTION("IMPORTRANGE(""https://docs.google.com/spreadsheets/d/1SX6NBoVAgQJ6U1MVXOaj8PK2l7WJ3RER9xtqwdhxkhw/edit?usp=sharing"",""ปราจีนบุรี!L333"")"),0)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IFERROR(__xludf.DUMMYFUNCTION("IMPORTRANGE(""https://docs.google.com/spreadsheets/d/1SX6NBoVAgQJ6U1MVXOaj8PK2l7WJ3RER9xtqwdhxkhw/edit?usp=sharing"",""ปราจีนบุรี!M333"")"),0)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IFERROR(__xludf.DUMMYFUNCTION("IMPORTRANGE(""https://docs.google.com/spreadsheets/d/1SX6NBoVAgQJ6U1MVXOaj8PK2l7WJ3RER9xtqwdhxkhw/edit?usp=sharing"",""ปราจีนบุรี!L334"")"),76000)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IFERROR(__xludf.DUMMYFUNCTION("IMPORTRANGE(""https://docs.google.com/spreadsheets/d/1SX6NBoVAgQJ6U1MVXOaj8PK2l7WJ3RER9xtqwdhxkhw/edit?usp=sharing"",""ปราจีนบุรี!M334"")"),64520)</f>
        <v>64520</v>
      </c>
      <c r="O439" s="169">
        <f t="shared" ca="1" si="114"/>
        <v>84.89473684210526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IFERROR(__xludf.DUMMYFUNCTION("IMPORTRANGE(""https://docs.google.com/spreadsheets/d/1SX6NBoVAgQJ6U1MVXOaj8PK2l7WJ3RER9xtqwdhxkhw/edit?usp=sharing"",""ปราจีนบุรี!M338"")"),42280)</f>
        <v>42280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IFERROR(__xludf.DUMMYFUNCTION("IMPORTRANGE(""https://docs.google.com/spreadsheets/d/1SX6NBoVAgQJ6U1MVXOaj8PK2l7WJ3RER9xtqwdhxkhw/edit?usp=sharing"",""ปราจีนบุรี!J340"")"),0)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IFERROR(__xludf.DUMMYFUNCTION("IMPORTRANGE(""https://docs.google.com/spreadsheets/d/1SX6NBoVAgQJ6U1MVXOaj8PK2l7WJ3RER9xtqwdhxkhw/edit?usp=sharing"",""ปราจีนบุรี!J341"")"),1)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IFERROR(__xludf.DUMMYFUNCTION("IMPORTRANGE(""https://docs.google.com/spreadsheets/d/1SX6NBoVAgQJ6U1MVXOaj8PK2l7WJ3RER9xtqwdhxkhw/edit?usp=sharing"",""ปราจีนบุรี!J342"")"),1)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IFERROR(__xludf.DUMMYFUNCTION("IMPORTRANGE(""https://docs.google.com/spreadsheets/d/1SX6NBoVAgQJ6U1MVXOaj8PK2l7WJ3RER9xtqwdhxkhw/edit?usp=sharing"",""ปราจีนบุรี!J343"")"),1)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1">
        <f ca="1">IFERROR(__xludf.DUMMYFUNCTION("IMPORTRANGE(""https://docs.google.com/spreadsheets/d/1SX6NBoVAgQJ6U1MVXOaj8PK2l7WJ3RER9xtqwdhxkhw/edit?usp=sharing"",""ปราจีนบุรี!J344"")"),10)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IFERROR(__xludf.DUMMYFUNCTION("IMPORTRANGE(""https://docs.google.com/spreadsheets/d/1SX6NBoVAgQJ6U1MVXOaj8PK2l7WJ3RER9xtqwdhxkhw/edit?usp=sharing"",""ปราจีนบุรี!I345"")"),10)</f>
        <v>10</v>
      </c>
      <c r="J450" s="189">
        <f ca="1">IFERROR(__xludf.DUMMYFUNCTION("IMPORTRANGE(""https://docs.google.com/spreadsheets/d/1SX6NBoVAgQJ6U1MVXOaj8PK2l7WJ3RER9xtqwdhxkhw/edit?usp=sharing"",""ปราจีนบุรี!J345"")"),10)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IFERROR(__xludf.DUMMYFUNCTION("IMPORTRANGE(""https://docs.google.com/spreadsheets/d/1SX6NBoVAgQJ6U1MVXOaj8PK2l7WJ3RER9xtqwdhxkhw/edit?usp=sharing"",""ปราจีนบุรี!I346"")"),0)</f>
        <v>0</v>
      </c>
      <c r="J451" s="188">
        <f ca="1">IFERROR(__xludf.DUMMYFUNCTION("IMPORTRANGE(""https://docs.google.com/spreadsheets/d/1SX6NBoVAgQJ6U1MVXOaj8PK2l7WJ3RER9xtqwdhxkhw/edit?usp=sharing"",""ปราจีนบุรี!J346"")"),0)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IFERROR(__xludf.DUMMYFUNCTION("IMPORTRANGE(""https://docs.google.com/spreadsheets/d/1SX6NBoVAgQJ6U1MVXOaj8PK2l7WJ3RER9xtqwdhxkhw/edit?usp=sharing"",""ปราจีนบุรี!I347"")"),0)</f>
        <v>0</v>
      </c>
      <c r="J452" s="188">
        <f ca="1">IFERROR(__xludf.DUMMYFUNCTION("IMPORTRANGE(""https://docs.google.com/spreadsheets/d/1SX6NBoVAgQJ6U1MVXOaj8PK2l7WJ3RER9xtqwdhxkhw/edit?usp=sharing"",""ปราจีนบุรี!J347"")"),0)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IFERROR(__xludf.DUMMYFUNCTION("IMPORTRANGE(""https://docs.google.com/spreadsheets/d/1SX6NBoVAgQJ6U1MVXOaj8PK2l7WJ3RER9xtqwdhxkhw/edit?usp=sharing"",""ปราจีนบุรี!J348"")"),0)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IFERROR(__xludf.DUMMYFUNCTION("IMPORTRANGE(""https://docs.google.com/spreadsheets/d/1SX6NBoVAgQJ6U1MVXOaj8PK2l7WJ3RER9xtqwdhxkhw/edit?usp=sharing"",""ปราจีนบุรี!J349"")"),0)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IFERROR(__xludf.DUMMYFUNCTION("IMPORTRANGE(""https://docs.google.com/spreadsheets/d/1SX6NBoVAgQJ6U1MVXOaj8PK2l7WJ3RER9xtqwdhxkhw/edit?usp=sharing"",""ปราจีนบุรี!I350"")"),2324)</f>
        <v>2324</v>
      </c>
      <c r="J455" s="371">
        <f ca="1">IFERROR(__xludf.DUMMYFUNCTION("IMPORTRANGE(""https://docs.google.com/spreadsheets/d/1SX6NBoVAgQJ6U1MVXOaj8PK2l7WJ3RER9xtqwdhxkhw/edit?usp=sharing"",""ปราจีนบุรี!J350"")"),0)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IFERROR(__xludf.DUMMYFUNCTION("IMPORTRANGE(""https://docs.google.com/spreadsheets/d/1SX6NBoVAgQJ6U1MVXOaj8PK2l7WJ3RER9xtqwdhxkhw/edit?usp=sharing"",""ปราจีนบุรี!L350"")"),52754)</f>
        <v>52754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IFERROR(__xludf.DUMMYFUNCTION("IMPORTRANGE(""https://docs.google.com/spreadsheets/d/1SX6NBoVAgQJ6U1MVXOaj8PK2l7WJ3RER9xtqwdhxkhw/edit?usp=sharing"",""ปราจีนบุรี!M350"")"),15145)</f>
        <v>15145</v>
      </c>
      <c r="O455" s="373">
        <f t="shared" ref="O455:O459" ca="1" si="116">+IF(L455&gt;0,N455*100/L455,0)</f>
        <v>28.708723509117792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IFERROR(__xludf.DUMMYFUNCTION("IMPORTRANGE(""https://docs.google.com/spreadsheets/d/1SX6NBoVAgQJ6U1MVXOaj8PK2l7WJ3RER9xtqwdhxkhw/edit?usp=sharing"",""ปราจีนบุรี!L351"")"),0)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IFERROR(__xludf.DUMMYFUNCTION("IMPORTRANGE(""https://docs.google.com/spreadsheets/d/1SX6NBoVAgQJ6U1MVXOaj8PK2l7WJ3RER9xtqwdhxkhw/edit?usp=sharing"",""ปราจีนบุรี!M351"")"),0)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IFERROR(__xludf.DUMMYFUNCTION("IMPORTRANGE(""https://docs.google.com/spreadsheets/d/1SX6NBoVAgQJ6U1MVXOaj8PK2l7WJ3RER9xtqwdhxkhw/edit?usp=sharing"",""ปราจีนบุรี!L352"")"),52754)</f>
        <v>52754</v>
      </c>
      <c r="M457" s="165"/>
      <c r="N457" s="169">
        <f ca="1">IFERROR(__xludf.DUMMYFUNCTION("IMPORTRANGE(""https://docs.google.com/spreadsheets/d/1SX6NBoVAgQJ6U1MVXOaj8PK2l7WJ3RER9xtqwdhxkhw/edit?usp=sharing"",""ปราจีนบุรี!M352"")"),15145)</f>
        <v>15145</v>
      </c>
      <c r="O457" s="169">
        <f t="shared" ca="1" si="116"/>
        <v>28.708723509117792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IFERROR(__xludf.DUMMYFUNCTION("IMPORTRANGE(""https://docs.google.com/spreadsheets/d/1SX6NBoVAgQJ6U1MVXOaj8PK2l7WJ3RER9xtqwdhxkhw/edit?usp=sharing"",""ปราจีนบุรี!L353"")"),0)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IFERROR(__xludf.DUMMYFUNCTION("IMPORTRANGE(""https://docs.google.com/spreadsheets/d/1SX6NBoVAgQJ6U1MVXOaj8PK2l7WJ3RER9xtqwdhxkhw/edit?usp=sharing"",""ปราจีนบุรี!M353"")"),0)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IFERROR(__xludf.DUMMYFUNCTION("IMPORTRANGE(""https://docs.google.com/spreadsheets/d/1SX6NBoVAgQJ6U1MVXOaj8PK2l7WJ3RER9xtqwdhxkhw/edit?usp=sharing"",""ปราจีนบุรี!L354"")"),52754)</f>
        <v>52754</v>
      </c>
      <c r="M459" s="169"/>
      <c r="N459" s="169">
        <f ca="1">IFERROR(__xludf.DUMMYFUNCTION("IMPORTRANGE(""https://docs.google.com/spreadsheets/d/1SX6NBoVAgQJ6U1MVXOaj8PK2l7WJ3RER9xtqwdhxkhw/edit?usp=sharing"",""ปราจีนบุรี!M354"")"),15145)</f>
        <v>15145</v>
      </c>
      <c r="O459" s="169">
        <f t="shared" ca="1" si="116"/>
        <v>28.708723509117792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IFERROR(__xludf.DUMMYFUNCTION("IMPORTRANGE(""https://docs.google.com/spreadsheets/d/1SX6NBoVAgQJ6U1MVXOaj8PK2l7WJ3RER9xtqwdhxkhw/edit?usp=sharing"",""ปราจีนบุรี!M355"")"),0)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IFERROR(__xludf.DUMMYFUNCTION("IMPORTRANGE(""https://docs.google.com/spreadsheets/d/1SX6NBoVAgQJ6U1MVXOaj8PK2l7WJ3RER9xtqwdhxkhw/edit?usp=sharing"",""ปราจีนบุรี!M356"")"),0)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IFERROR(__xludf.DUMMYFUNCTION("IMPORTRANGE(""https://docs.google.com/spreadsheets/d/1SX6NBoVAgQJ6U1MVXOaj8PK2l7WJ3RER9xtqwdhxkhw/edit?usp=sharing"",""ปราจีนบุรี!M358"")"),15145)</f>
        <v>15145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IFERROR(__xludf.DUMMYFUNCTION("IMPORTRANGE(""https://docs.google.com/spreadsheets/d/1SX6NBoVAgQJ6U1MVXOaj8PK2l7WJ3RER9xtqwdhxkhw/edit?usp=sharing"",""ปราจีนบุรี!I359"")"),2324)</f>
        <v>2324</v>
      </c>
      <c r="J464" s="268">
        <f ca="1">IFERROR(__xludf.DUMMYFUNCTION("IMPORTRANGE(""https://docs.google.com/spreadsheets/d/1SX6NBoVAgQJ6U1MVXOaj8PK2l7WJ3RER9xtqwdhxkhw/edit?usp=sharing"",""ปราจีนบุรี!J359"")"),0)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IFERROR(__xludf.DUMMYFUNCTION("IMPORTRANGE(""https://docs.google.com/spreadsheets/d/1SX6NBoVAgQJ6U1MVXOaj8PK2l7WJ3RER9xtqwdhxkhw/edit?usp=sharing"",""ปราจีนบุรี!I360"")"),2324)</f>
        <v>2324</v>
      </c>
      <c r="J465" s="420">
        <f ca="1">IFERROR(__xludf.DUMMYFUNCTION("IMPORTRANGE(""https://docs.google.com/spreadsheets/d/1SX6NBoVAgQJ6U1MVXOaj8PK2l7WJ3RER9xtqwdhxkhw/edit?usp=sharing"",""ปราจีนบุรี!J360"")"),2314.49318)</f>
        <v>2314.4931799999999</v>
      </c>
      <c r="K465" s="202">
        <f t="shared" ca="1" si="117"/>
        <v>99.590928571428577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IFERROR(__xludf.DUMMYFUNCTION("IMPORTRANGE(""https://docs.google.com/spreadsheets/d/1SX6NBoVAgQJ6U1MVXOaj8PK2l7WJ3RER9xtqwdhxkhw/edit?usp=sharing"",""ปราจีนบุรี!I361"")"),141)</f>
        <v>141</v>
      </c>
      <c r="J466" s="420">
        <f ca="1">IFERROR(__xludf.DUMMYFUNCTION("IMPORTRANGE(""https://docs.google.com/spreadsheets/d/1SX6NBoVAgQJ6U1MVXOaj8PK2l7WJ3RER9xtqwdhxkhw/edit?usp=sharing"",""ปราจีนบุรี!J361"")"),141)</f>
        <v>141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IFERROR(__xludf.DUMMYFUNCTION("IMPORTRANGE(""https://docs.google.com/spreadsheets/d/1SX6NBoVAgQJ6U1MVXOaj8PK2l7WJ3RER9xtqwdhxkhw/edit?usp=sharing"",""ปราจีนบุรี!I362"")"),0)</f>
        <v>0</v>
      </c>
      <c r="J467" s="189">
        <f ca="1">IFERROR(__xludf.DUMMYFUNCTION("IMPORTRANGE(""https://docs.google.com/spreadsheets/d/1SX6NBoVAgQJ6U1MVXOaj8PK2l7WJ3RER9xtqwdhxkhw/edit?usp=sharing"",""ปราจีนบุรี!J362"")"),1901.5578)</f>
        <v>1901.5578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IFERROR(__xludf.DUMMYFUNCTION("IMPORTRANGE(""https://docs.google.com/spreadsheets/d/1SX6NBoVAgQJ6U1MVXOaj8PK2l7WJ3RER9xtqwdhxkhw/edit?usp=sharing"",""ปราจีนบุรี!I363"")"),0)</f>
        <v>0</v>
      </c>
      <c r="J468" s="189">
        <f ca="1">IFERROR(__xludf.DUMMYFUNCTION("IMPORTRANGE(""https://docs.google.com/spreadsheets/d/1SX6NBoVAgQJ6U1MVXOaj8PK2l7WJ3RER9xtqwdhxkhw/edit?usp=sharing"",""ปราจีนบุรี!J363"")"),113)</f>
        <v>113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IFERROR(__xludf.DUMMYFUNCTION("IMPORTRANGE(""https://docs.google.com/spreadsheets/d/1SX6NBoVAgQJ6U1MVXOaj8PK2l7WJ3RER9xtqwdhxkhw/edit?usp=sharing"",""ปราจีนบุรี!I364"")"),0)</f>
        <v>0</v>
      </c>
      <c r="J469" s="189">
        <f ca="1">IFERROR(__xludf.DUMMYFUNCTION("IMPORTRANGE(""https://docs.google.com/spreadsheets/d/1SX6NBoVAgQJ6U1MVXOaj8PK2l7WJ3RER9xtqwdhxkhw/edit?usp=sharing"",""ปราจีนบุรี!J364"")"),246.52768)</f>
        <v>246.52768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IFERROR(__xludf.DUMMYFUNCTION("IMPORTRANGE(""https://docs.google.com/spreadsheets/d/1SX6NBoVAgQJ6U1MVXOaj8PK2l7WJ3RER9xtqwdhxkhw/edit?usp=sharing"",""ปราจีนบุรี!I365"")"),0)</f>
        <v>0</v>
      </c>
      <c r="J470" s="189">
        <f ca="1">IFERROR(__xludf.DUMMYFUNCTION("IMPORTRANGE(""https://docs.google.com/spreadsheets/d/1SX6NBoVAgQJ6U1MVXOaj8PK2l7WJ3RER9xtqwdhxkhw/edit?usp=sharing"",""ปราจีนบุรี!J365"")"),14)</f>
        <v>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IFERROR(__xludf.DUMMYFUNCTION("IMPORTRANGE(""https://docs.google.com/spreadsheets/d/1SX6NBoVAgQJ6U1MVXOaj8PK2l7WJ3RER9xtqwdhxkhw/edit?usp=sharing"",""ปราจีนบุรี!I366"")"),0)</f>
        <v>0</v>
      </c>
      <c r="J471" s="189">
        <f ca="1">IFERROR(__xludf.DUMMYFUNCTION("IMPORTRANGE(""https://docs.google.com/spreadsheets/d/1SX6NBoVAgQJ6U1MVXOaj8PK2l7WJ3RER9xtqwdhxkhw/edit?usp=sharing"",""ปราจีนบุรี!J366"")"),166.4077)</f>
        <v>166.40770000000001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IFERROR(__xludf.DUMMYFUNCTION("IMPORTRANGE(""https://docs.google.com/spreadsheets/d/1SX6NBoVAgQJ6U1MVXOaj8PK2l7WJ3RER9xtqwdhxkhw/edit?usp=sharing"",""ปราจีนบุรี!I367"")"),0)</f>
        <v>0</v>
      </c>
      <c r="J472" s="189">
        <f ca="1">IFERROR(__xludf.DUMMYFUNCTION("IMPORTRANGE(""https://docs.google.com/spreadsheets/d/1SX6NBoVAgQJ6U1MVXOaj8PK2l7WJ3RER9xtqwdhxkhw/edit?usp=sharing"",""ปราจีนบุรี!J367"")"),14)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IFERROR(__xludf.DUMMYFUNCTION("IMPORTRANGE(""https://docs.google.com/spreadsheets/d/1SX6NBoVAgQJ6U1MVXOaj8PK2l7WJ3RER9xtqwdhxkhw/edit?usp=sharing"",""ปราจีนบุรี!I368"")"),2324)</f>
        <v>2324</v>
      </c>
      <c r="J473" s="420">
        <f ca="1">IFERROR(__xludf.DUMMYFUNCTION("IMPORTRANGE(""https://docs.google.com/spreadsheets/d/1SX6NBoVAgQJ6U1MVXOaj8PK2l7WJ3RER9xtqwdhxkhw/edit?usp=sharing"",""ปราจีนบุรี!J368"")"),2314.4932)</f>
        <v>2314.4931999999999</v>
      </c>
      <c r="K473" s="202">
        <f t="shared" ca="1" si="117"/>
        <v>99.590929432013766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IFERROR(__xludf.DUMMYFUNCTION("IMPORTRANGE(""https://docs.google.com/spreadsheets/d/1SX6NBoVAgQJ6U1MVXOaj8PK2l7WJ3RER9xtqwdhxkhw/edit?usp=sharing"",""ปราจีนบุรี!I369"")"),141)</f>
        <v>141</v>
      </c>
      <c r="J474" s="420">
        <f ca="1">IFERROR(__xludf.DUMMYFUNCTION("IMPORTRANGE(""https://docs.google.com/spreadsheets/d/1SX6NBoVAgQJ6U1MVXOaj8PK2l7WJ3RER9xtqwdhxkhw/edit?usp=sharing"",""ปราจีนบุรี!J369"")"),141)</f>
        <v>141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IFERROR(__xludf.DUMMYFUNCTION("IMPORTRANGE(""https://docs.google.com/spreadsheets/d/1SX6NBoVAgQJ6U1MVXOaj8PK2l7WJ3RER9xtqwdhxkhw/edit?usp=sharing"",""ปราจีนบุรี!I370"")"),0)</f>
        <v>0</v>
      </c>
      <c r="J475" s="189">
        <f ca="1">IFERROR(__xludf.DUMMYFUNCTION("IMPORTRANGE(""https://docs.google.com/spreadsheets/d/1SX6NBoVAgQJ6U1MVXOaj8PK2l7WJ3RER9xtqwdhxkhw/edit?usp=sharing"",""ปราจีนบุรี!J370"")"),1727.6004)</f>
        <v>1727.6004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IFERROR(__xludf.DUMMYFUNCTION("IMPORTRANGE(""https://docs.google.com/spreadsheets/d/1SX6NBoVAgQJ6U1MVXOaj8PK2l7WJ3RER9xtqwdhxkhw/edit?usp=sharing"",""ปราจีนบุรี!I371"")"),0)</f>
        <v>0</v>
      </c>
      <c r="J476" s="189">
        <f ca="1">IFERROR(__xludf.DUMMYFUNCTION("IMPORTRANGE(""https://docs.google.com/spreadsheets/d/1SX6NBoVAgQJ6U1MVXOaj8PK2l7WJ3RER9xtqwdhxkhw/edit?usp=sharing"",""ปราจีนบุรี!J371"")"),105)</f>
        <v>105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IFERROR(__xludf.DUMMYFUNCTION("IMPORTRANGE(""https://docs.google.com/spreadsheets/d/1SX6NBoVAgQJ6U1MVXOaj8PK2l7WJ3RER9xtqwdhxkhw/edit?usp=sharing"",""ปราจีนบุรี!I372"")"),0)</f>
        <v>0</v>
      </c>
      <c r="J477" s="189">
        <f ca="1">IFERROR(__xludf.DUMMYFUNCTION("IMPORTRANGE(""https://docs.google.com/spreadsheets/d/1SX6NBoVAgQJ6U1MVXOaj8PK2l7WJ3RER9xtqwdhxkhw/edit?usp=sharing"",""ปราจีนบุรี!J372"")"),425.1901)</f>
        <v>425.19009999999997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IFERROR(__xludf.DUMMYFUNCTION("IMPORTRANGE(""https://docs.google.com/spreadsheets/d/1SX6NBoVAgQJ6U1MVXOaj8PK2l7WJ3RER9xtqwdhxkhw/edit?usp=sharing"",""ปราจีนบุรี!I373"")"),0)</f>
        <v>0</v>
      </c>
      <c r="J478" s="189">
        <f ca="1">IFERROR(__xludf.DUMMYFUNCTION("IMPORTRANGE(""https://docs.google.com/spreadsheets/d/1SX6NBoVAgQJ6U1MVXOaj8PK2l7WJ3RER9xtqwdhxkhw/edit?usp=sharing"",""ปราจีนบุรี!J373"")"),21)</f>
        <v>21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IFERROR(__xludf.DUMMYFUNCTION("IMPORTRANGE(""https://docs.google.com/spreadsheets/d/1SX6NBoVAgQJ6U1MVXOaj8PK2l7WJ3RER9xtqwdhxkhw/edit?usp=sharing"",""ปราจีนบุรี!I374"")"),0)</f>
        <v>0</v>
      </c>
      <c r="J479" s="189">
        <f ca="1">IFERROR(__xludf.DUMMYFUNCTION("IMPORTRANGE(""https://docs.google.com/spreadsheets/d/1SX6NBoVAgQJ6U1MVXOaj8PK2l7WJ3RER9xtqwdhxkhw/edit?usp=sharing"",""ปราจีนบุรี!J374"")"),161.7027)</f>
        <v>161.70269999999999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IFERROR(__xludf.DUMMYFUNCTION("IMPORTRANGE(""https://docs.google.com/spreadsheets/d/1SX6NBoVAgQJ6U1MVXOaj8PK2l7WJ3RER9xtqwdhxkhw/edit?usp=sharing"",""ปราจีนบุรี!I375"")"),0)</f>
        <v>0</v>
      </c>
      <c r="J480" s="189">
        <f ca="1">IFERROR(__xludf.DUMMYFUNCTION("IMPORTRANGE(""https://docs.google.com/spreadsheets/d/1SX6NBoVAgQJ6U1MVXOaj8PK2l7WJ3RER9xtqwdhxkhw/edit?usp=sharing"",""ปราจีนบุรี!J375"")"),15)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IFERROR(__xludf.DUMMYFUNCTION("IMPORTRANGE(""https://docs.google.com/spreadsheets/d/1SX6NBoVAgQJ6U1MVXOaj8PK2l7WJ3RER9xtqwdhxkhw/edit?usp=sharing"",""ปราจีนบุรี!I376"")"),2324)</f>
        <v>2324</v>
      </c>
      <c r="J481" s="420">
        <f ca="1">IFERROR(__xludf.DUMMYFUNCTION("IMPORTRANGE(""https://docs.google.com/spreadsheets/d/1SX6NBoVAgQJ6U1MVXOaj8PK2l7WJ3RER9xtqwdhxkhw/edit?usp=sharing"",""ปราจีนบุรี!J376"")"),0)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IFERROR(__xludf.DUMMYFUNCTION("IMPORTRANGE(""https://docs.google.com/spreadsheets/d/1SX6NBoVAgQJ6U1MVXOaj8PK2l7WJ3RER9xtqwdhxkhw/edit?usp=sharing"",""ปราจีนบุรี!I377"")"),141)</f>
        <v>141</v>
      </c>
      <c r="J482" s="420">
        <f ca="1">IFERROR(__xludf.DUMMYFUNCTION("IMPORTRANGE(""https://docs.google.com/spreadsheets/d/1SX6NBoVAgQJ6U1MVXOaj8PK2l7WJ3RER9xtqwdhxkhw/edit?usp=sharing"",""ปราจีนบุรี!J377"")"),0)</f>
        <v>0</v>
      </c>
      <c r="K482" s="202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IFERROR(__xludf.DUMMYFUNCTION("IMPORTRANGE(""https://docs.google.com/spreadsheets/d/1SX6NBoVAgQJ6U1MVXOaj8PK2l7WJ3RER9xtqwdhxkhw/edit?usp=sharing"",""ปราจีนบุรี!I378"")"),0)</f>
        <v>0</v>
      </c>
      <c r="J483" s="189">
        <f ca="1">IFERROR(__xludf.DUMMYFUNCTION("IMPORTRANGE(""https://docs.google.com/spreadsheets/d/1SX6NBoVAgQJ6U1MVXOaj8PK2l7WJ3RER9xtqwdhxkhw/edit?usp=sharing"",""ปราจีนบุรี!J378"")"),0)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IFERROR(__xludf.DUMMYFUNCTION("IMPORTRANGE(""https://docs.google.com/spreadsheets/d/1SX6NBoVAgQJ6U1MVXOaj8PK2l7WJ3RER9xtqwdhxkhw/edit?usp=sharing"",""ปราจีนบุรี!I379"")"),0)</f>
        <v>0</v>
      </c>
      <c r="J484" s="189">
        <f ca="1">IFERROR(__xludf.DUMMYFUNCTION("IMPORTRANGE(""https://docs.google.com/spreadsheets/d/1SX6NBoVAgQJ6U1MVXOaj8PK2l7WJ3RER9xtqwdhxkhw/edit?usp=sharing"",""ปราจีนบุรี!J379"")"),0)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IFERROR(__xludf.DUMMYFUNCTION("IMPORTRANGE(""https://docs.google.com/spreadsheets/d/1SX6NBoVAgQJ6U1MVXOaj8PK2l7WJ3RER9xtqwdhxkhw/edit?usp=sharing"",""ปราจีนบุรี!I380"")"),0)</f>
        <v>0</v>
      </c>
      <c r="J485" s="189">
        <f ca="1">IFERROR(__xludf.DUMMYFUNCTION("IMPORTRANGE(""https://docs.google.com/spreadsheets/d/1SX6NBoVAgQJ6U1MVXOaj8PK2l7WJ3RER9xtqwdhxkhw/edit?usp=sharing"",""ปราจีนบุรี!J380"")"),0)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IFERROR(__xludf.DUMMYFUNCTION("IMPORTRANGE(""https://docs.google.com/spreadsheets/d/1SX6NBoVAgQJ6U1MVXOaj8PK2l7WJ3RER9xtqwdhxkhw/edit?usp=sharing"",""ปราจีนบุรี!I381"")"),0)</f>
        <v>0</v>
      </c>
      <c r="J486" s="189">
        <f ca="1">IFERROR(__xludf.DUMMYFUNCTION("IMPORTRANGE(""https://docs.google.com/spreadsheets/d/1SX6NBoVAgQJ6U1MVXOaj8PK2l7WJ3RER9xtqwdhxkhw/edit?usp=sharing"",""ปราจีนบุรี!J381"")"),0)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IFERROR(__xludf.DUMMYFUNCTION("IMPORTRANGE(""https://docs.google.com/spreadsheets/d/1SX6NBoVAgQJ6U1MVXOaj8PK2l7WJ3RER9xtqwdhxkhw/edit?usp=sharing"",""ปราจีนบุรี!I384"")"),0)</f>
        <v>0</v>
      </c>
      <c r="J489" s="189">
        <f ca="1">IFERROR(__xludf.DUMMYFUNCTION("IMPORTRANGE(""https://docs.google.com/spreadsheets/d/1SX6NBoVAgQJ6U1MVXOaj8PK2l7WJ3RER9xtqwdhxkhw/edit?usp=sharing"",""ปราจีนบุรี!J384"")"),0)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IFERROR(__xludf.DUMMYFUNCTION("IMPORTRANGE(""https://docs.google.com/spreadsheets/d/1SX6NBoVAgQJ6U1MVXOaj8PK2l7WJ3RER9xtqwdhxkhw/edit?usp=sharing"",""ปราจีนบุรี!I385"")"),0)</f>
        <v>0</v>
      </c>
      <c r="J490" s="189">
        <f ca="1">IFERROR(__xludf.DUMMYFUNCTION("IMPORTRANGE(""https://docs.google.com/spreadsheets/d/1SX6NBoVAgQJ6U1MVXOaj8PK2l7WJ3RER9xtqwdhxkhw/edit?usp=sharing"",""ปราจีนบุรี!J385"")"),0)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IFERROR(__xludf.DUMMYFUNCTION("IMPORTRANGE(""https://docs.google.com/spreadsheets/d/1SX6NBoVAgQJ6U1MVXOaj8PK2l7WJ3RER9xtqwdhxkhw/edit?usp=sharing"",""ปราจีนบุรี!I386"")"),0)</f>
        <v>0</v>
      </c>
      <c r="J491" s="189">
        <f ca="1">IFERROR(__xludf.DUMMYFUNCTION("IMPORTRANGE(""https://docs.google.com/spreadsheets/d/1SX6NBoVAgQJ6U1MVXOaj8PK2l7WJ3RER9xtqwdhxkhw/edit?usp=sharing"",""ปราจีนบุรี!J386"")"),0)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IFERROR(__xludf.DUMMYFUNCTION("IMPORTRANGE(""https://docs.google.com/spreadsheets/d/1SX6NBoVAgQJ6U1MVXOaj8PK2l7WJ3RER9xtqwdhxkhw/edit?usp=sharing"",""ปราจีนบุรี!I387"")"),0)</f>
        <v>0</v>
      </c>
      <c r="J492" s="189">
        <f ca="1">IFERROR(__xludf.DUMMYFUNCTION("IMPORTRANGE(""https://docs.google.com/spreadsheets/d/1SX6NBoVAgQJ6U1MVXOaj8PK2l7WJ3RER9xtqwdhxkhw/edit?usp=sharing"",""ปราจีนบุรี!J387"")"),0)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IFERROR(__xludf.DUMMYFUNCTION("IMPORTRANGE(""https://docs.google.com/spreadsheets/d/1SX6NBoVAgQJ6U1MVXOaj8PK2l7WJ3RER9xtqwdhxkhw/edit?usp=sharing"",""ปราจีนบุรี!I388"")"),0)</f>
        <v>0</v>
      </c>
      <c r="J493" s="189">
        <f ca="1">IFERROR(__xludf.DUMMYFUNCTION("IMPORTRANGE(""https://docs.google.com/spreadsheets/d/1SX6NBoVAgQJ6U1MVXOaj8PK2l7WJ3RER9xtqwdhxkhw/edit?usp=sharing"",""ปราจีนบุรี!J388"")"),0)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IFERROR(__xludf.DUMMYFUNCTION("IMPORTRANGE(""https://docs.google.com/spreadsheets/d/1SX6NBoVAgQJ6U1MVXOaj8PK2l7WJ3RER9xtqwdhxkhw/edit?usp=sharing"",""ปราจีนบุรี!I395"")"),0)</f>
        <v>0</v>
      </c>
      <c r="J500" s="162">
        <f ca="1">IFERROR(__xludf.DUMMYFUNCTION("IMPORTRANGE(""https://docs.google.com/spreadsheets/d/1SX6NBoVAgQJ6U1MVXOaj8PK2l7WJ3RER9xtqwdhxkhw/edit?usp=sharing"",""ปราจีนบุรี!J395"")"),0)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IFERROR(__xludf.DUMMYFUNCTION("IMPORTRANGE(""https://docs.google.com/spreadsheets/d/1SX6NBoVAgQJ6U1MVXOaj8PK2l7WJ3RER9xtqwdhxkhw/edit?usp=sharing"",""ปราจีนบุรี!I396"")"),0)</f>
        <v>0</v>
      </c>
      <c r="J501" s="162">
        <f ca="1">IFERROR(__xludf.DUMMYFUNCTION("IMPORTRANGE(""https://docs.google.com/spreadsheets/d/1SX6NBoVAgQJ6U1MVXOaj8PK2l7WJ3RER9xtqwdhxkhw/edit?usp=sharing"",""ปราจีนบุรี!J396"")"),0)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IFERROR(__xludf.DUMMYFUNCTION("IMPORTRANGE(""https://docs.google.com/spreadsheets/d/1SX6NBoVAgQJ6U1MVXOaj8PK2l7WJ3RER9xtqwdhxkhw/edit?usp=sharing"",""ปราจีนบุรี!I397"")"),0)</f>
        <v>0</v>
      </c>
      <c r="J502" s="189">
        <f ca="1">IFERROR(__xludf.DUMMYFUNCTION("IMPORTRANGE(""https://docs.google.com/spreadsheets/d/1SX6NBoVAgQJ6U1MVXOaj8PK2l7WJ3RER9xtqwdhxkhw/edit?usp=sharing"",""ปราจีนบุรี!J397"")"),0)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IFERROR(__xludf.DUMMYFUNCTION("IMPORTRANGE(""https://docs.google.com/spreadsheets/d/1SX6NBoVAgQJ6U1MVXOaj8PK2l7WJ3RER9xtqwdhxkhw/edit?usp=sharing"",""ปราจีนบุรี!I398"")"),0)</f>
        <v>0</v>
      </c>
      <c r="J503" s="198">
        <f ca="1">IFERROR(__xludf.DUMMYFUNCTION("IMPORTRANGE(""https://docs.google.com/spreadsheets/d/1SX6NBoVAgQJ6U1MVXOaj8PK2l7WJ3RER9xtqwdhxkhw/edit?usp=sharing"",""ปราจีนบุรี!J398"")"),0)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IFERROR(__xludf.DUMMYFUNCTION("IMPORTRANGE(""https://docs.google.com/spreadsheets/d/1SX6NBoVAgQJ6U1MVXOaj8PK2l7WJ3RER9xtqwdhxkhw/edit?usp=sharing"",""ปราจีนบุรี!I399"")"),0)</f>
        <v>0</v>
      </c>
      <c r="J504" s="189">
        <f ca="1">IFERROR(__xludf.DUMMYFUNCTION("IMPORTRANGE(""https://docs.google.com/spreadsheets/d/1SX6NBoVAgQJ6U1MVXOaj8PK2l7WJ3RER9xtqwdhxkhw/edit?usp=sharing"",""ปราจีนบุรี!J399"")"),0)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IFERROR(__xludf.DUMMYFUNCTION("IMPORTRANGE(""https://docs.google.com/spreadsheets/d/1SX6NBoVAgQJ6U1MVXOaj8PK2l7WJ3RER9xtqwdhxkhw/edit?usp=sharing"",""ปราจีนบุรี!I400"")"),0)</f>
        <v>0</v>
      </c>
      <c r="J505" s="198">
        <f ca="1">IFERROR(__xludf.DUMMYFUNCTION("IMPORTRANGE(""https://docs.google.com/spreadsheets/d/1SX6NBoVAgQJ6U1MVXOaj8PK2l7WJ3RER9xtqwdhxkhw/edit?usp=sharing"",""ปราจีนบุรี!J400"")"),0)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IFERROR(__xludf.DUMMYFUNCTION("IMPORTRANGE(""https://docs.google.com/spreadsheets/d/1SX6NBoVAgQJ6U1MVXOaj8PK2l7WJ3RER9xtqwdhxkhw/edit?usp=sharing"",""ปราจีนบุรี!I401"")"),0)</f>
        <v>0</v>
      </c>
      <c r="J506" s="189">
        <f ca="1">IFERROR(__xludf.DUMMYFUNCTION("IMPORTRANGE(""https://docs.google.com/spreadsheets/d/1SX6NBoVAgQJ6U1MVXOaj8PK2l7WJ3RER9xtqwdhxkhw/edit?usp=sharing"",""ปราจีนบุรี!J401"")"),0)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IFERROR(__xludf.DUMMYFUNCTION("IMPORTRANGE(""https://docs.google.com/spreadsheets/d/1SX6NBoVAgQJ6U1MVXOaj8PK2l7WJ3RER9xtqwdhxkhw/edit?usp=sharing"",""ปราจีนบุรี!I402"")"),0)</f>
        <v>0</v>
      </c>
      <c r="J507" s="198">
        <f ca="1">IFERROR(__xludf.DUMMYFUNCTION("IMPORTRANGE(""https://docs.google.com/spreadsheets/d/1SX6NBoVAgQJ6U1MVXOaj8PK2l7WJ3RER9xtqwdhxkhw/edit?usp=sharing"",""ปราจีนบุรี!J402"")"),0)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IFERROR(__xludf.DUMMYFUNCTION("IMPORTRANGE(""https://docs.google.com/spreadsheets/d/1SX6NBoVAgQJ6U1MVXOaj8PK2l7WJ3RER9xtqwdhxkhw/edit?usp=sharing"",""ปราจีนบุรี!I403"")"),0)</f>
        <v>0</v>
      </c>
      <c r="J508" s="162">
        <f ca="1">IFERROR(__xludf.DUMMYFUNCTION("IMPORTRANGE(""https://docs.google.com/spreadsheets/d/1SX6NBoVAgQJ6U1MVXOaj8PK2l7WJ3RER9xtqwdhxkhw/edit?usp=sharing"",""ปราจีนบุรี!J403"")"),0)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IFERROR(__xludf.DUMMYFUNCTION("IMPORTRANGE(""https://docs.google.com/spreadsheets/d/1SX6NBoVAgQJ6U1MVXOaj8PK2l7WJ3RER9xtqwdhxkhw/edit?usp=sharing"",""ปราจีนบุรี!I404"")"),0)</f>
        <v>0</v>
      </c>
      <c r="J509" s="162">
        <f ca="1">IFERROR(__xludf.DUMMYFUNCTION("IMPORTRANGE(""https://docs.google.com/spreadsheets/d/1SX6NBoVAgQJ6U1MVXOaj8PK2l7WJ3RER9xtqwdhxkhw/edit?usp=sharing"",""ปราจีนบุรี!J404"")"),0)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IFERROR(__xludf.DUMMYFUNCTION("IMPORTRANGE(""https://docs.google.com/spreadsheets/d/1SX6NBoVAgQJ6U1MVXOaj8PK2l7WJ3RER9xtqwdhxkhw/edit?usp=sharing"",""ปราจีนบุรี!I405"")"),0)</f>
        <v>0</v>
      </c>
      <c r="J510" s="198">
        <f ca="1">IFERROR(__xludf.DUMMYFUNCTION("IMPORTRANGE(""https://docs.google.com/spreadsheets/d/1SX6NBoVAgQJ6U1MVXOaj8PK2l7WJ3RER9xtqwdhxkhw/edit?usp=sharing"",""ปราจีนบุรี!J405"")"),0)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IFERROR(__xludf.DUMMYFUNCTION("IMPORTRANGE(""https://docs.google.com/spreadsheets/d/1SX6NBoVAgQJ6U1MVXOaj8PK2l7WJ3RER9xtqwdhxkhw/edit?usp=sharing"",""ปราจีนบุรี!I406"")"),0)</f>
        <v>0</v>
      </c>
      <c r="J511" s="198">
        <f ca="1">IFERROR(__xludf.DUMMYFUNCTION("IMPORTRANGE(""https://docs.google.com/spreadsheets/d/1SX6NBoVAgQJ6U1MVXOaj8PK2l7WJ3RER9xtqwdhxkhw/edit?usp=sharing"",""ปราจีนบุรี!J406"")"),0)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IFERROR(__xludf.DUMMYFUNCTION("IMPORTRANGE(""https://docs.google.com/spreadsheets/d/1SX6NBoVAgQJ6U1MVXOaj8PK2l7WJ3RER9xtqwdhxkhw/edit?usp=sharing"",""ปราจีนบุรี!I407"")"),0)</f>
        <v>0</v>
      </c>
      <c r="J512" s="198">
        <f ca="1">IFERROR(__xludf.DUMMYFUNCTION("IMPORTRANGE(""https://docs.google.com/spreadsheets/d/1SX6NBoVAgQJ6U1MVXOaj8PK2l7WJ3RER9xtqwdhxkhw/edit?usp=sharing"",""ปราจีนบุรี!J407"")"),0)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IFERROR(__xludf.DUMMYFUNCTION("IMPORTRANGE(""https://docs.google.com/spreadsheets/d/1SX6NBoVAgQJ6U1MVXOaj8PK2l7WJ3RER9xtqwdhxkhw/edit?usp=sharing"",""ปราจีนบุรี!I408"")"),0)</f>
        <v>0</v>
      </c>
      <c r="J513" s="198">
        <f ca="1">IFERROR(__xludf.DUMMYFUNCTION("IMPORTRANGE(""https://docs.google.com/spreadsheets/d/1SX6NBoVAgQJ6U1MVXOaj8PK2l7WJ3RER9xtqwdhxkhw/edit?usp=sharing"",""ปราจีนบุรี!J408"")"),0)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IFERROR(__xludf.DUMMYFUNCTION("IMPORTRANGE(""https://docs.google.com/spreadsheets/d/1SX6NBoVAgQJ6U1MVXOaj8PK2l7WJ3RER9xtqwdhxkhw/edit?usp=sharing"",""ปราจีนบุรี!I409"")"),0)</f>
        <v>0</v>
      </c>
      <c r="J514" s="198">
        <f ca="1">IFERROR(__xludf.DUMMYFUNCTION("IMPORTRANGE(""https://docs.google.com/spreadsheets/d/1SX6NBoVAgQJ6U1MVXOaj8PK2l7WJ3RER9xtqwdhxkhw/edit?usp=sharing"",""ปราจีนบุรี!J409"")"),0)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IFERROR(__xludf.DUMMYFUNCTION("IMPORTRANGE(""https://docs.google.com/spreadsheets/d/1SX6NBoVAgQJ6U1MVXOaj8PK2l7WJ3RER9xtqwdhxkhw/edit?usp=sharing"",""ปราจีนบุรี!I410"")"),0)</f>
        <v>0</v>
      </c>
      <c r="J515" s="198">
        <f ca="1">IFERROR(__xludf.DUMMYFUNCTION("IMPORTRANGE(""https://docs.google.com/spreadsheets/d/1SX6NBoVAgQJ6U1MVXOaj8PK2l7WJ3RER9xtqwdhxkhw/edit?usp=sharing"",""ปราจีนบุรี!J410"")"),0)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IFERROR(__xludf.DUMMYFUNCTION("IMPORTRANGE(""https://docs.google.com/spreadsheets/d/1SX6NBoVAgQJ6U1MVXOaj8PK2l7WJ3RER9xtqwdhxkhw/edit?usp=sharing"",""ปราจีนบุรี!I411"")"),0)</f>
        <v>0</v>
      </c>
      <c r="J516" s="268">
        <f ca="1">IFERROR(__xludf.DUMMYFUNCTION("IMPORTRANGE(""https://docs.google.com/spreadsheets/d/1SX6NBoVAgQJ6U1MVXOaj8PK2l7WJ3RER9xtqwdhxkhw/edit?usp=sharing"",""ปราจีนบุรี!J411"")"),0)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IFERROR(__xludf.DUMMYFUNCTION("IMPORTRANGE(""https://docs.google.com/spreadsheets/d/1SX6NBoVAgQJ6U1MVXOaj8PK2l7WJ3RER9xtqwdhxkhw/edit?usp=sharing"",""ปราจีนบุรี!I412"")"),0)</f>
        <v>0</v>
      </c>
      <c r="J517" s="285">
        <f ca="1">IFERROR(__xludf.DUMMYFUNCTION("IMPORTRANGE(""https://docs.google.com/spreadsheets/d/1SX6NBoVAgQJ6U1MVXOaj8PK2l7WJ3RER9xtqwdhxkhw/edit?usp=sharing"",""ปราจีนบุรี!J412"")"),0)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IFERROR(__xludf.DUMMYFUNCTION("IMPORTRANGE(""https://docs.google.com/spreadsheets/d/1SX6NBoVAgQJ6U1MVXOaj8PK2l7WJ3RER9xtqwdhxkhw/edit?usp=sharing"",""ปราจีนบุรี!I413"")"),0)</f>
        <v>0</v>
      </c>
      <c r="J518" s="285">
        <f ca="1">IFERROR(__xludf.DUMMYFUNCTION("IMPORTRANGE(""https://docs.google.com/spreadsheets/d/1SX6NBoVAgQJ6U1MVXOaj8PK2l7WJ3RER9xtqwdhxkhw/edit?usp=sharing"",""ปราจีนบุรี!J413"")"),0)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IFERROR(__xludf.DUMMYFUNCTION("IMPORTRANGE(""https://docs.google.com/spreadsheets/d/1SX6NBoVAgQJ6U1MVXOaj8PK2l7WJ3RER9xtqwdhxkhw/edit?usp=sharing"",""ปราจีนบุรี!I414"")"),0)</f>
        <v>0</v>
      </c>
      <c r="J519" s="188">
        <f ca="1">IFERROR(__xludf.DUMMYFUNCTION("IMPORTRANGE(""https://docs.google.com/spreadsheets/d/1SX6NBoVAgQJ6U1MVXOaj8PK2l7WJ3RER9xtqwdhxkhw/edit?usp=sharing"",""ปราจีนบุรี!J414"")"),0)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IFERROR(__xludf.DUMMYFUNCTION("IMPORTRANGE(""https://docs.google.com/spreadsheets/d/1SX6NBoVAgQJ6U1MVXOaj8PK2l7WJ3RER9xtqwdhxkhw/edit?usp=sharing"",""ปราจีนบุรี!I415"")"),0)</f>
        <v>0</v>
      </c>
      <c r="J520" s="188">
        <f ca="1">IFERROR(__xludf.DUMMYFUNCTION("IMPORTRANGE(""https://docs.google.com/spreadsheets/d/1SX6NBoVAgQJ6U1MVXOaj8PK2l7WJ3RER9xtqwdhxkhw/edit?usp=sharing"",""ปราจีนบุรี!J415"")"),0)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IFERROR(__xludf.DUMMYFUNCTION("IMPORTRANGE(""https://docs.google.com/spreadsheets/d/1SX6NBoVAgQJ6U1MVXOaj8PK2l7WJ3RER9xtqwdhxkhw/edit?usp=sharing"",""ปราจีนบุรี!I416"")"),0)</f>
        <v>0</v>
      </c>
      <c r="J521" s="188">
        <f ca="1">IFERROR(__xludf.DUMMYFUNCTION("IMPORTRANGE(""https://docs.google.com/spreadsheets/d/1SX6NBoVAgQJ6U1MVXOaj8PK2l7WJ3RER9xtqwdhxkhw/edit?usp=sharing"",""ปราจีนบุรี!J416"")"),0)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IFERROR(__xludf.DUMMYFUNCTION("IMPORTRANGE(""https://docs.google.com/spreadsheets/d/1SX6NBoVAgQJ6U1MVXOaj8PK2l7WJ3RER9xtqwdhxkhw/edit?usp=sharing"",""ปราจีนบุรี!I417"")"),0)</f>
        <v>0</v>
      </c>
      <c r="J522" s="188">
        <f ca="1">IFERROR(__xludf.DUMMYFUNCTION("IMPORTRANGE(""https://docs.google.com/spreadsheets/d/1SX6NBoVAgQJ6U1MVXOaj8PK2l7WJ3RER9xtqwdhxkhw/edit?usp=sharing"",""ปราจีนบุรี!J417"")"),0)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IFERROR(__xludf.DUMMYFUNCTION("IMPORTRANGE(""https://docs.google.com/spreadsheets/d/1SX6NBoVAgQJ6U1MVXOaj8PK2l7WJ3RER9xtqwdhxkhw/edit?usp=sharing"",""ปราจีนบุรี!I418"")"),0)</f>
        <v>0</v>
      </c>
      <c r="J523" s="188">
        <f ca="1">IFERROR(__xludf.DUMMYFUNCTION("IMPORTRANGE(""https://docs.google.com/spreadsheets/d/1SX6NBoVAgQJ6U1MVXOaj8PK2l7WJ3RER9xtqwdhxkhw/edit?usp=sharing"",""ปราจีนบุรี!J418"")"),0)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IFERROR(__xludf.DUMMYFUNCTION("IMPORTRANGE(""https://docs.google.com/spreadsheets/d/1SX6NBoVAgQJ6U1MVXOaj8PK2l7WJ3RER9xtqwdhxkhw/edit?usp=sharing"",""ปราจีนบุรี!I419"")"),0)</f>
        <v>0</v>
      </c>
      <c r="J524" s="188">
        <f ca="1">IFERROR(__xludf.DUMMYFUNCTION("IMPORTRANGE(""https://docs.google.com/spreadsheets/d/1SX6NBoVAgQJ6U1MVXOaj8PK2l7WJ3RER9xtqwdhxkhw/edit?usp=sharing"",""ปราจีนบุรี!J419"")"),0)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IFERROR(__xludf.DUMMYFUNCTION("IMPORTRANGE(""https://docs.google.com/spreadsheets/d/1SX6NBoVAgQJ6U1MVXOaj8PK2l7WJ3RER9xtqwdhxkhw/edit?usp=sharing"",""ปราจีนบุรี!I420"")"),0)</f>
        <v>0</v>
      </c>
      <c r="J525" s="285">
        <f ca="1">IFERROR(__xludf.DUMMYFUNCTION("IMPORTRANGE(""https://docs.google.com/spreadsheets/d/1SX6NBoVAgQJ6U1MVXOaj8PK2l7WJ3RER9xtqwdhxkhw/edit?usp=sharing"",""ปราจีนบุรี!J420"")"),0)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IFERROR(__xludf.DUMMYFUNCTION("IMPORTRANGE(""https://docs.google.com/spreadsheets/d/1SX6NBoVAgQJ6U1MVXOaj8PK2l7WJ3RER9xtqwdhxkhw/edit?usp=sharing"",""ปราจีนบุรี!I421"")"),0)</f>
        <v>0</v>
      </c>
      <c r="J526" s="285">
        <f ca="1">IFERROR(__xludf.DUMMYFUNCTION("IMPORTRANGE(""https://docs.google.com/spreadsheets/d/1SX6NBoVAgQJ6U1MVXOaj8PK2l7WJ3RER9xtqwdhxkhw/edit?usp=sharing"",""ปราจีนบุรี!J421"")"),0)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IFERROR(__xludf.DUMMYFUNCTION("IMPORTRANGE(""https://docs.google.com/spreadsheets/d/1SX6NBoVAgQJ6U1MVXOaj8PK2l7WJ3RER9xtqwdhxkhw/edit?usp=sharing"",""ปราจีนบุรี!I422"")"),0)</f>
        <v>0</v>
      </c>
      <c r="J527" s="198">
        <f ca="1">IFERROR(__xludf.DUMMYFUNCTION("IMPORTRANGE(""https://docs.google.com/spreadsheets/d/1SX6NBoVAgQJ6U1MVXOaj8PK2l7WJ3RER9xtqwdhxkhw/edit?usp=sharing"",""ปราจีนบุรี!J422"")"),0)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IFERROR(__xludf.DUMMYFUNCTION("IMPORTRANGE(""https://docs.google.com/spreadsheets/d/1SX6NBoVAgQJ6U1MVXOaj8PK2l7WJ3RER9xtqwdhxkhw/edit?usp=sharing"",""ปราจีนบุรี!I423"")"),0)</f>
        <v>0</v>
      </c>
      <c r="J528" s="198">
        <f ca="1">IFERROR(__xludf.DUMMYFUNCTION("IMPORTRANGE(""https://docs.google.com/spreadsheets/d/1SX6NBoVAgQJ6U1MVXOaj8PK2l7WJ3RER9xtqwdhxkhw/edit?usp=sharing"",""ปราจีนบุรี!J423"")"),0)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IFERROR(__xludf.DUMMYFUNCTION("IMPORTRANGE(""https://docs.google.com/spreadsheets/d/1SX6NBoVAgQJ6U1MVXOaj8PK2l7WJ3RER9xtqwdhxkhw/edit?usp=sharing"",""ปราจีนบุรี!I424"")"),0)</f>
        <v>0</v>
      </c>
      <c r="J529" s="198">
        <f ca="1">IFERROR(__xludf.DUMMYFUNCTION("IMPORTRANGE(""https://docs.google.com/spreadsheets/d/1SX6NBoVAgQJ6U1MVXOaj8PK2l7WJ3RER9xtqwdhxkhw/edit?usp=sharing"",""ปราจีนบุรี!J424"")"),0)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IFERROR(__xludf.DUMMYFUNCTION("IMPORTRANGE(""https://docs.google.com/spreadsheets/d/1SX6NBoVAgQJ6U1MVXOaj8PK2l7WJ3RER9xtqwdhxkhw/edit?usp=sharing"",""ปราจีนบุรี!I425"")"),0)</f>
        <v>0</v>
      </c>
      <c r="J530" s="198">
        <f ca="1">IFERROR(__xludf.DUMMYFUNCTION("IMPORTRANGE(""https://docs.google.com/spreadsheets/d/1SX6NBoVAgQJ6U1MVXOaj8PK2l7WJ3RER9xtqwdhxkhw/edit?usp=sharing"",""ปราจีนบุรี!J425"")"),0)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IFERROR(__xludf.DUMMYFUNCTION("IMPORTRANGE(""https://docs.google.com/spreadsheets/d/1SX6NBoVAgQJ6U1MVXOaj8PK2l7WJ3RER9xtqwdhxkhw/edit?usp=sharing"",""ปราจีนบุรี!I426"")"),0)</f>
        <v>0</v>
      </c>
      <c r="J531" s="198">
        <f ca="1">IFERROR(__xludf.DUMMYFUNCTION("IMPORTRANGE(""https://docs.google.com/spreadsheets/d/1SX6NBoVAgQJ6U1MVXOaj8PK2l7WJ3RER9xtqwdhxkhw/edit?usp=sharing"",""ปราจีนบุรี!J426"")"),0)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IFERROR(__xludf.DUMMYFUNCTION("IMPORTRANGE(""https://docs.google.com/spreadsheets/d/1SX6NBoVAgQJ6U1MVXOaj8PK2l7WJ3RER9xtqwdhxkhw/edit?usp=sharing"",""ปราจีนบุรี!L428"")"),34340)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IFERROR(__xludf.DUMMYFUNCTION("IMPORTRANGE(""https://docs.google.com/spreadsheets/d/1SX6NBoVAgQJ6U1MVXOaj8PK2l7WJ3RER9xtqwdhxkhw/edit?usp=sharing"",""ปราจีนบุรี!M428"")"),26700)</f>
        <v>26700</v>
      </c>
      <c r="O533" s="412">
        <f t="shared" ref="O533:O537" ca="1" si="118">+IF(L533&gt;0,N533*100/L533,0)</f>
        <v>77.751892836342464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IFERROR(__xludf.DUMMYFUNCTION("IMPORTRANGE(""https://docs.google.com/spreadsheets/d/1SX6NBoVAgQJ6U1MVXOaj8PK2l7WJ3RER9xtqwdhxkhw/edit?usp=sharing"",""ปราจีนบุรี!L429"")"),0)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IFERROR(__xludf.DUMMYFUNCTION("IMPORTRANGE(""https://docs.google.com/spreadsheets/d/1SX6NBoVAgQJ6U1MVXOaj8PK2l7WJ3RER9xtqwdhxkhw/edit?usp=sharing"",""ปราจีนบุรี!M429"")"),0)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IFERROR(__xludf.DUMMYFUNCTION("IMPORTRANGE(""https://docs.google.com/spreadsheets/d/1SX6NBoVAgQJ6U1MVXOaj8PK2l7WJ3RER9xtqwdhxkhw/edit?usp=sharing"",""ปราจีนบุรี!L430"")"),34340)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IFERROR(__xludf.DUMMYFUNCTION("IMPORTRANGE(""https://docs.google.com/spreadsheets/d/1SX6NBoVAgQJ6U1MVXOaj8PK2l7WJ3RER9xtqwdhxkhw/edit?usp=sharing"",""ปราจีนบุรี!M430"")"),26700)</f>
        <v>26700</v>
      </c>
      <c r="O535" s="169">
        <f t="shared" ca="1" si="118"/>
        <v>77.751892836342464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IFERROR(__xludf.DUMMYFUNCTION("IMPORTRANGE(""https://docs.google.com/spreadsheets/d/1SX6NBoVAgQJ6U1MVXOaj8PK2l7WJ3RER9xtqwdhxkhw/edit?usp=sharing"",""ปราจีนบุรี!L431"")"),0)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IFERROR(__xludf.DUMMYFUNCTION("IMPORTRANGE(""https://docs.google.com/spreadsheets/d/1SX6NBoVAgQJ6U1MVXOaj8PK2l7WJ3RER9xtqwdhxkhw/edit?usp=sharing"",""ปราจีนบุรี!M431"")"),0)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IFERROR(__xludf.DUMMYFUNCTION("IMPORTRANGE(""https://docs.google.com/spreadsheets/d/1SX6NBoVAgQJ6U1MVXOaj8PK2l7WJ3RER9xtqwdhxkhw/edit?usp=sharing"",""ปราจีนบุรี!L432"")"),34340)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IFERROR(__xludf.DUMMYFUNCTION("IMPORTRANGE(""https://docs.google.com/spreadsheets/d/1SX6NBoVAgQJ6U1MVXOaj8PK2l7WJ3RER9xtqwdhxkhw/edit?usp=sharing"",""ปราจีนบุรี!M432"")"),26700)</f>
        <v>26700</v>
      </c>
      <c r="O537" s="169">
        <f t="shared" ca="1" si="118"/>
        <v>77.751892836342464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IFERROR(__xludf.DUMMYFUNCTION("IMPORTRANGE(""https://docs.google.com/spreadsheets/d/1SX6NBoVAgQJ6U1MVXOaj8PK2l7WJ3RER9xtqwdhxkhw/edit?usp=sharing"",""ปราจีนบุรี!M433"")"),19700)</f>
        <v>19700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IFERROR(__xludf.DUMMYFUNCTION("IMPORTRANGE(""https://docs.google.com/spreadsheets/d/1SX6NBoVAgQJ6U1MVXOaj8PK2l7WJ3RER9xtqwdhxkhw/edit?usp=sharing"",""ปราจีนบุรี!M436"")"),7000)</f>
        <v>7000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89"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IFERROR(__xludf.DUMMYFUNCTION("IMPORTRANGE(""https://docs.google.com/spreadsheets/d/1SX6NBoVAgQJ6U1MVXOaj8PK2l7WJ3RER9xtqwdhxkhw/edit?usp=sharing"",""ปราจีนบุรี!J439"")"),1)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IFERROR(__xludf.DUMMYFUNCTION("IMPORTRANGE(""https://docs.google.com/spreadsheets/d/1SX6NBoVAgQJ6U1MVXOaj8PK2l7WJ3RER9xtqwdhxkhw/edit?usp=sharing"",""ปราจีนบุรี!J440"")"),1)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IFERROR(__xludf.DUMMYFUNCTION("IMPORTRANGE(""https://docs.google.com/spreadsheets/d/1SX6NBoVAgQJ6U1MVXOaj8PK2l7WJ3RER9xtqwdhxkhw/edit?usp=sharing"",""ปราจีนบุรี!J441"")"),1)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IFERROR(__xludf.DUMMYFUNCTION("IMPORTRANGE(""https://docs.google.com/spreadsheets/d/1SX6NBoVAgQJ6U1MVXOaj8PK2l7WJ3RER9xtqwdhxkhw/edit?usp=sharing"",""ปราจีนบุรี!I442"")"),22)</f>
        <v>22</v>
      </c>
      <c r="J547" s="189">
        <f ca="1">IFERROR(__xludf.DUMMYFUNCTION("IMPORTRANGE(""https://docs.google.com/spreadsheets/d/1SX6NBoVAgQJ6U1MVXOaj8PK2l7WJ3RER9xtqwdhxkhw/edit?usp=sharing"",""ปราจีนบุรี!J442"")"),22)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IFERROR(__xludf.DUMMYFUNCTION("IMPORTRANGE(""https://docs.google.com/spreadsheets/d/1SX6NBoVAgQJ6U1MVXOaj8PK2l7WJ3RER9xtqwdhxkhw/edit?usp=sharing"",""ปราจีนบุรี!J166"")"),0)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IFERROR(__xludf.DUMMYFUNCTION("IMPORTRANGE(""https://docs.google.com/spreadsheets/d/1SX6NBoVAgQJ6U1MVXOaj8PK2l7WJ3RER9xtqwdhxkhw/edit?usp=sharing"",""ปราจีนบุรี!J444"")"),0)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IFERROR(__xludf.DUMMYFUNCTION("IMPORTRANGE(""https://docs.google.com/spreadsheets/d/1SX6NBoVAgQJ6U1MVXOaj8PK2l7WJ3RER9xtqwdhxkhw/edit?usp=sharing"",""ปราจีนบุรี!L447"")"),0)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IFERROR(__xludf.DUMMYFUNCTION("IMPORTRANGE(""https://docs.google.com/spreadsheets/d/1SX6NBoVAgQJ6U1MVXOaj8PK2l7WJ3RER9xtqwdhxkhw/edit?usp=sharing"",""ปราจีนบุรี!M447"")"),0)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IFERROR(__xludf.DUMMYFUNCTION("IMPORTRANGE(""https://docs.google.com/spreadsheets/d/1SX6NBoVAgQJ6U1MVXOaj8PK2l7WJ3RER9xtqwdhxkhw/edit?usp=sharing"",""ปราจีนบุรี!L448"")"),0)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IFERROR(__xludf.DUMMYFUNCTION("IMPORTRANGE(""https://docs.google.com/spreadsheets/d/1SX6NBoVAgQJ6U1MVXOaj8PK2l7WJ3RER9xtqwdhxkhw/edit?usp=sharing"",""ปราจีนบุรี!M448"")"),0)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IFERROR(__xludf.DUMMYFUNCTION("IMPORTRANGE(""https://docs.google.com/spreadsheets/d/1SX6NBoVAgQJ6U1MVXOaj8PK2l7WJ3RER9xtqwdhxkhw/edit?usp=sharing"",""ปราจีนบุรี!L449"")"),0)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IFERROR(__xludf.DUMMYFUNCTION("IMPORTRANGE(""https://docs.google.com/spreadsheets/d/1SX6NBoVAgQJ6U1MVXOaj8PK2l7WJ3RER9xtqwdhxkhw/edit?usp=sharing"",""ปราจีนบุรี!M449"")"),0)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IFERROR(__xludf.DUMMYFUNCTION("IMPORTRANGE(""https://docs.google.com/spreadsheets/d/1SX6NBoVAgQJ6U1MVXOaj8PK2l7WJ3RER9xtqwdhxkhw/edit?usp=sharing"",""ปราจีนบุรี!L450"")"),0)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IFERROR(__xludf.DUMMYFUNCTION("IMPORTRANGE(""https://docs.google.com/spreadsheets/d/1SX6NBoVAgQJ6U1MVXOaj8PK2l7WJ3RER9xtqwdhxkhw/edit?usp=sharing"",""ปราจีนบุรี!M450"")"),0)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IFERROR(__xludf.DUMMYFUNCTION("IMPORTRANGE(""https://docs.google.com/spreadsheets/d/1SX6NBoVAgQJ6U1MVXOaj8PK2l7WJ3RER9xtqwdhxkhw/edit?usp=sharing"",""ปราจีนบุรี!M451"")"),0)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IFERROR(__xludf.DUMMYFUNCTION("IMPORTRANGE(""https://docs.google.com/spreadsheets/d/1SX6NBoVAgQJ6U1MVXOaj8PK2l7WJ3RER9xtqwdhxkhw/edit?usp=sharing"",""ปราจีนบุรี!M452"")"),0)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IFERROR(__xludf.DUMMYFUNCTION("IMPORTRANGE(""https://docs.google.com/spreadsheets/d/1SX6NBoVAgQJ6U1MVXOaj8PK2l7WJ3RER9xtqwdhxkhw/edit?usp=sharing"",""ปราจีนบุรี!M453"")"),0)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IFERROR(__xludf.DUMMYFUNCTION("IMPORTRANGE(""https://docs.google.com/spreadsheets/d/1SX6NBoVAgQJ6U1MVXOaj8PK2l7WJ3RER9xtqwdhxkhw/edit?usp=sharing"",""ปราจีนบุรี!M454"")"),0)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IFERROR(__xludf.DUMMYFUNCTION("IMPORTRANGE(""https://docs.google.com/spreadsheets/d/1SX6NBoVAgQJ6U1MVXOaj8PK2l7WJ3RER9xtqwdhxkhw/edit?usp=sharing"",""ปราจีนบุรี!I455"")"),0)</f>
        <v>0</v>
      </c>
      <c r="J560" s="162">
        <f ca="1">IFERROR(__xludf.DUMMYFUNCTION("IMPORTRANGE(""https://docs.google.com/spreadsheets/d/1SX6NBoVAgQJ6U1MVXOaj8PK2l7WJ3RER9xtqwdhxkhw/edit?usp=sharing"",""ปราจีนบุรี!J455"")"),0)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IFERROR(__xludf.DUMMYFUNCTION("IMPORTRANGE(""https://docs.google.com/spreadsheets/d/1SX6NBoVAgQJ6U1MVXOaj8PK2l7WJ3RER9xtqwdhxkhw/edit?usp=sharing"",""ปราจีนบุรี!I456"")"),0)</f>
        <v>0</v>
      </c>
      <c r="J561" s="204">
        <f ca="1">IFERROR(__xludf.DUMMYFUNCTION("IMPORTRANGE(""https://docs.google.com/spreadsheets/d/1SX6NBoVAgQJ6U1MVXOaj8PK2l7WJ3RER9xtqwdhxkhw/edit?usp=sharing"",""ปราจีนบุรี!J456"")"),0)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IFERROR(__xludf.DUMMYFUNCTION("IMPORTRANGE(""https://docs.google.com/spreadsheets/d/1SX6NBoVAgQJ6U1MVXOaj8PK2l7WJ3RER9xtqwdhxkhw/edit?usp=sharing"",""ปราจีนบุรี!J459"")"),1319)</f>
        <v>1319</v>
      </c>
      <c r="K564" s="372">
        <f ca="1">IF(I564&gt;0,J564*100/I564,0)</f>
        <v>263.8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IFERROR(__xludf.DUMMYFUNCTION("IMPORTRANGE(""https://docs.google.com/spreadsheets/d/1SX6NBoVAgQJ6U1MVXOaj8PK2l7WJ3RER9xtqwdhxkhw/edit?usp=sharing"",""ปราจีนบุรี!M459"")"),55916)</f>
        <v>55916</v>
      </c>
      <c r="O564" s="373">
        <f t="shared" ref="O564:O568" ca="1" si="122">+IF(L564&gt;0,N564*100/L564,0)</f>
        <v>43.521170610211705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IFERROR(__xludf.DUMMYFUNCTION("IMPORTRANGE(""https://docs.google.com/spreadsheets/d/1SX6NBoVAgQJ6U1MVXOaj8PK2l7WJ3RER9xtqwdhxkhw/edit?usp=sharing"",""ปราจีนบุรี!L460"")"),0)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IFERROR(__xludf.DUMMYFUNCTION("IMPORTRANGE(""https://docs.google.com/spreadsheets/d/1SX6NBoVAgQJ6U1MVXOaj8PK2l7WJ3RER9xtqwdhxkhw/edit?usp=sharing"",""ปราจีนบุรี!M460"")"),0)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5"/>
      <c r="N566" s="169">
        <f ca="1">IFERROR(__xludf.DUMMYFUNCTION("IMPORTRANGE(""https://docs.google.com/spreadsheets/d/1SX6NBoVAgQJ6U1MVXOaj8PK2l7WJ3RER9xtqwdhxkhw/edit?usp=sharing"",""ปราจีนบุรี!M461"")"),55916)</f>
        <v>55916</v>
      </c>
      <c r="O566" s="169">
        <f t="shared" ca="1" si="122"/>
        <v>43.521170610211705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IFERROR(__xludf.DUMMYFUNCTION("IMPORTRANGE(""https://docs.google.com/spreadsheets/d/1SX6NBoVAgQJ6U1MVXOaj8PK2l7WJ3RER9xtqwdhxkhw/edit?usp=sharing"",""ปราจีนบุรี!L462"")"),0)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IFERROR(__xludf.DUMMYFUNCTION("IMPORTRANGE(""https://docs.google.com/spreadsheets/d/1SX6NBoVAgQJ6U1MVXOaj8PK2l7WJ3RER9xtqwdhxkhw/edit?usp=sharing"",""ปราจีนบุรี!M462"")"),0)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IFERROR(__xludf.DUMMYFUNCTION("IMPORTRANGE(""https://docs.google.com/spreadsheets/d/1SX6NBoVAgQJ6U1MVXOaj8PK2l7WJ3RER9xtqwdhxkhw/edit?usp=sharing"",""ปราจีนบุรี!L463"")"),128480)</f>
        <v>128480</v>
      </c>
      <c r="M568" s="169"/>
      <c r="N568" s="169">
        <f ca="1">IFERROR(__xludf.DUMMYFUNCTION("IMPORTRANGE(""https://docs.google.com/spreadsheets/d/1SX6NBoVAgQJ6U1MVXOaj8PK2l7WJ3RER9xtqwdhxkhw/edit?usp=sharing"",""ปราจีนบุรี!M463"")"),55916)</f>
        <v>55916</v>
      </c>
      <c r="O568" s="169">
        <f t="shared" ca="1" si="122"/>
        <v>43.521170610211705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IFERROR(__xludf.DUMMYFUNCTION("IMPORTRANGE(""https://docs.google.com/spreadsheets/d/1SX6NBoVAgQJ6U1MVXOaj8PK2l7WJ3RER9xtqwdhxkhw/edit?usp=sharing"",""ปราจีนบุรี!M464"")"),0)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IFERROR(__xludf.DUMMYFUNCTION("IMPORTRANGE(""https://docs.google.com/spreadsheets/d/1SX6NBoVAgQJ6U1MVXOaj8PK2l7WJ3RER9xtqwdhxkhw/edit?usp=sharing"",""ปราจีนบุรี!M465"")"),0)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IFERROR(__xludf.DUMMYFUNCTION("IMPORTRANGE(""https://docs.google.com/spreadsheets/d/1SX6NBoVAgQJ6U1MVXOaj8PK2l7WJ3RER9xtqwdhxkhw/edit?usp=sharing"",""ปราจีนบุรี!M466"")"),55916)</f>
        <v>55916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IFERROR(__xludf.DUMMYFUNCTION("IMPORTRANGE(""https://docs.google.com/spreadsheets/d/1SX6NBoVAgQJ6U1MVXOaj8PK2l7WJ3RER9xtqwdhxkhw/edit?usp=sharing"",""ปราจีนบุรี!J468"")"),1319)</f>
        <v>1319</v>
      </c>
      <c r="K573" s="202">
        <f ca="1">IF(I573&gt;0,J573*100/I573,0)</f>
        <v>263.8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IFERROR(__xludf.DUMMYFUNCTION("IMPORTRANGE(""https://docs.google.com/spreadsheets/d/1SX6NBoVAgQJ6U1MVXOaj8PK2l7WJ3RER9xtqwdhxkhw/edit?usp=sharing"",""ปราจีนบุรี!I470"")"),0)</f>
        <v>0</v>
      </c>
      <c r="J575" s="198">
        <f ca="1">IFERROR(__xludf.DUMMYFUNCTION("IMPORTRANGE(""https://docs.google.com/spreadsheets/d/1SX6NBoVAgQJ6U1MVXOaj8PK2l7WJ3RER9xtqwdhxkhw/edit?usp=sharing"",""ปราจีนบุรี!J470"")"),2)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IFERROR(__xludf.DUMMYFUNCTION("IMPORTRANGE(""https://docs.google.com/spreadsheets/d/1SX6NBoVAgQJ6U1MVXOaj8PK2l7WJ3RER9xtqwdhxkhw/edit?usp=sharing"",""ปราจีนบุรี!I471"")"),0)</f>
        <v>0</v>
      </c>
      <c r="J576" s="198">
        <f ca="1">IFERROR(__xludf.DUMMYFUNCTION("IMPORTRANGE(""https://docs.google.com/spreadsheets/d/1SX6NBoVAgQJ6U1MVXOaj8PK2l7WJ3RER9xtqwdhxkhw/edit?usp=sharing"",""ปราจีนบุรี!J471"")"),106)</f>
        <v>106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IFERROR(__xludf.DUMMYFUNCTION("IMPORTRANGE(""https://docs.google.com/spreadsheets/d/1SX6NBoVAgQJ6U1MVXOaj8PK2l7WJ3RER9xtqwdhxkhw/edit?usp=sharing"",""ปราจีนบุรี!I472"")"),0)</f>
        <v>0</v>
      </c>
      <c r="J577" s="189">
        <f ca="1">IFERROR(__xludf.DUMMYFUNCTION("IMPORTRANGE(""https://docs.google.com/spreadsheets/d/1SX6NBoVAgQJ6U1MVXOaj8PK2l7WJ3RER9xtqwdhxkhw/edit?usp=sharing"",""ปราจีนบุรี!J472"")"),1213)</f>
        <v>1213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IFERROR(__xludf.DUMMYFUNCTION("IMPORTRANGE(""https://docs.google.com/spreadsheets/d/1SX6NBoVAgQJ6U1MVXOaj8PK2l7WJ3RER9xtqwdhxkhw/edit?usp=sharing"",""ปราจีนบุรี!I473"")"),0)</f>
        <v>0</v>
      </c>
      <c r="J578" s="198">
        <f ca="1">IFERROR(__xludf.DUMMYFUNCTION("IMPORTRANGE(""https://docs.google.com/spreadsheets/d/1SX6NBoVAgQJ6U1MVXOaj8PK2l7WJ3RER9xtqwdhxkhw/edit?usp=sharing"",""ปราจีนบุรี!J473"")"),0)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IFERROR(__xludf.DUMMYFUNCTION("IMPORTRANGE(""https://docs.google.com/spreadsheets/d/1SX6NBoVAgQJ6U1MVXOaj8PK2l7WJ3RER9xtqwdhxkhw/edit?usp=sharing"",""ปราจีนบุรี!I474"")"),0)</f>
        <v>0</v>
      </c>
      <c r="J579" s="198">
        <f ca="1">IFERROR(__xludf.DUMMYFUNCTION("IMPORTRANGE(""https://docs.google.com/spreadsheets/d/1SX6NBoVAgQJ6U1MVXOaj8PK2l7WJ3RER9xtqwdhxkhw/edit?usp=sharing"",""ปราจีนบุรี!J474"")"),0)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IFERROR(__xludf.DUMMYFUNCTION("IMPORTRANGE(""https://docs.google.com/spreadsheets/d/1SX6NBoVAgQJ6U1MVXOaj8PK2l7WJ3RER9xtqwdhxkhw/edit?usp=sharing"",""ปราจีนบุรี!L475"")"),106902)</f>
        <v>106902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IFERROR(__xludf.DUMMYFUNCTION("IMPORTRANGE(""https://docs.google.com/spreadsheets/d/1SX6NBoVAgQJ6U1MVXOaj8PK2l7WJ3RER9xtqwdhxkhw/edit?usp=sharing"",""ปราจีนบุรี!L476"")"),0)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IFERROR(__xludf.DUMMYFUNCTION("IMPORTRANGE(""https://docs.google.com/spreadsheets/d/1SX6NBoVAgQJ6U1MVXOaj8PK2l7WJ3RER9xtqwdhxkhw/edit?usp=sharing"",""ปราจีนบุรี!M476"")"),0)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IFERROR(__xludf.DUMMYFUNCTION("IMPORTRANGE(""https://docs.google.com/spreadsheets/d/1SX6NBoVAgQJ6U1MVXOaj8PK2l7WJ3RER9xtqwdhxkhw/edit?usp=sharing"",""ปราจีนบุรี!L477"")"),106902)</f>
        <v>106902</v>
      </c>
      <c r="M582" s="165"/>
      <c r="N582" s="169">
        <f ca="1">IFERROR(__xludf.DUMMYFUNCTION("IMPORTRANGE(""https://docs.google.com/spreadsheets/d/1SX6NBoVAgQJ6U1MVXOaj8PK2l7WJ3RER9xtqwdhxkhw/edit?usp=sharing"",""ปราจีนบุรี!M477"")"),0)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IFERROR(__xludf.DUMMYFUNCTION("IMPORTRANGE(""https://docs.google.com/spreadsheets/d/1SX6NBoVAgQJ6U1MVXOaj8PK2l7WJ3RER9xtqwdhxkhw/edit?usp=sharing"",""ปราจีนบุรี!L478"")"),0)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IFERROR(__xludf.DUMMYFUNCTION("IMPORTRANGE(""https://docs.google.com/spreadsheets/d/1SX6NBoVAgQJ6U1MVXOaj8PK2l7WJ3RER9xtqwdhxkhw/edit?usp=sharing"",""ปราจีนบุรี!M478"")"),0)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IFERROR(__xludf.DUMMYFUNCTION("IMPORTRANGE(""https://docs.google.com/spreadsheets/d/1SX6NBoVAgQJ6U1MVXOaj8PK2l7WJ3RER9xtqwdhxkhw/edit?usp=sharing"",""ปราจีนบุรี!L479"")"),106902)</f>
        <v>106902</v>
      </c>
      <c r="M584" s="169"/>
      <c r="N584" s="169">
        <f ca="1">IFERROR(__xludf.DUMMYFUNCTION("IMPORTRANGE(""https://docs.google.com/spreadsheets/d/1SX6NBoVAgQJ6U1MVXOaj8PK2l7WJ3RER9xtqwdhxkhw/edit?usp=sharing"",""ปราจีนบุรี!M479"")"),0)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IFERROR(__xludf.DUMMYFUNCTION("IMPORTRANGE(""https://docs.google.com/spreadsheets/d/1SX6NBoVAgQJ6U1MVXOaj8PK2l7WJ3RER9xtqwdhxkhw/edit?usp=sharing"",""ปราจีนบุรี!M480"")"),0)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IFERROR(__xludf.DUMMYFUNCTION("IMPORTRANGE(""https://docs.google.com/spreadsheets/d/1SX6NBoVAgQJ6U1MVXOaj8PK2l7WJ3RER9xtqwdhxkhw/edit?usp=sharing"",""ปราจีนบุรี!M481"")"),0)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IFERROR(__xludf.DUMMYFUNCTION("IMPORTRANGE(""https://docs.google.com/spreadsheets/d/1SX6NBoVAgQJ6U1MVXOaj8PK2l7WJ3RER9xtqwdhxkhw/edit?usp=sharing"",""ปราจีนบุรี!M482"")"),0)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IFERROR(__xludf.DUMMYFUNCTION("IMPORTRANGE(""https://docs.google.com/spreadsheets/d/1SX6NBoVAgQJ6U1MVXOaj8PK2l7WJ3RER9xtqwdhxkhw/edit?usp=sharing"",""ปราจีนบุรี!M483"")"),0)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IFERROR(__xludf.DUMMYFUNCTION("IMPORTRANGE(""https://docs.google.com/spreadsheets/d/1SX6NBoVAgQJ6U1MVXOaj8PK2l7WJ3RER9xtqwdhxkhw/edit?usp=sharing"",""ปราจีนบุรี!I484"")"),2)</f>
        <v>2</v>
      </c>
      <c r="J589" s="188">
        <f ca="1">IFERROR(__xludf.DUMMYFUNCTION("IMPORTRANGE(""https://docs.google.com/spreadsheets/d/1SX6NBoVAgQJ6U1MVXOaj8PK2l7WJ3RER9xtqwdhxkhw/edit?usp=sharing"",""ปราจีนบุรี!J484"")"),0)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8">
        <f ca="1">IFERROR(__xludf.DUMMYFUNCTION("IMPORTRANGE(""https://docs.google.com/spreadsheets/d/1SX6NBoVAgQJ6U1MVXOaj8PK2l7WJ3RER9xtqwdhxkhw/edit?usp=sharing"",""ปราจีนบุรี!J485"")"),0)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IFERROR(__xludf.DUMMYFUNCTION("IMPORTRANGE(""https://docs.google.com/spreadsheets/d/1SX6NBoVAgQJ6U1MVXOaj8PK2l7WJ3RER9xtqwdhxkhw/edit?usp=sharing"",""ปราจีนบุรี!I486"")"),2)</f>
        <v>2</v>
      </c>
      <c r="J591" s="188">
        <f ca="1">IFERROR(__xludf.DUMMYFUNCTION("IMPORTRANGE(""https://docs.google.com/spreadsheets/d/1SX6NBoVAgQJ6U1MVXOaj8PK2l7WJ3RER9xtqwdhxkhw/edit?usp=sharing"",""ปราจีนบุรี!J486"")"),1)</f>
        <v>1</v>
      </c>
      <c r="K591" s="163">
        <f t="shared" ca="1" si="125"/>
        <v>50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8">
        <f ca="1">IFERROR(__xludf.DUMMYFUNCTION("IMPORTRANGE(""https://docs.google.com/spreadsheets/d/1SX6NBoVAgQJ6U1MVXOaj8PK2l7WJ3RER9xtqwdhxkhw/edit?usp=sharing"",""ปราจีนบุรี!J487"")"),7)</f>
        <v>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IFERROR(__xludf.DUMMYFUNCTION("IMPORTRANGE(""https://docs.google.com/spreadsheets/d/1SX6NBoVAgQJ6U1MVXOaj8PK2l7WJ3RER9xtqwdhxkhw/edit?usp=sharing"",""ปราจีนบุรี!I488"")"),2)</f>
        <v>2</v>
      </c>
      <c r="J593" s="188">
        <f ca="1">IFERROR(__xludf.DUMMYFUNCTION("IMPORTRANGE(""https://docs.google.com/spreadsheets/d/1SX6NBoVAgQJ6U1MVXOaj8PK2l7WJ3RER9xtqwdhxkhw/edit?usp=sharing"",""ปราจีนบุรี!J488"")"),0)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8">
        <f ca="1">IFERROR(__xludf.DUMMYFUNCTION("IMPORTRANGE(""https://docs.google.com/spreadsheets/d/1SX6NBoVAgQJ6U1MVXOaj8PK2l7WJ3RER9xtqwdhxkhw/edit?usp=sharing"",""ปราจีนบุรี!J489"")"),0)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IFERROR(__xludf.DUMMYFUNCTION("IMPORTRANGE(""https://docs.google.com/spreadsheets/d/1SX6NBoVAgQJ6U1MVXOaj8PK2l7WJ3RER9xtqwdhxkhw/edit?usp=sharing"",""ปราจีนบุรี!I490"")"),2)</f>
        <v>2</v>
      </c>
      <c r="J595" s="188">
        <f ca="1">IFERROR(__xludf.DUMMYFUNCTION("IMPORTRANGE(""https://docs.google.com/spreadsheets/d/1SX6NBoVAgQJ6U1MVXOaj8PK2l7WJ3RER9xtqwdhxkhw/edit?usp=sharing"",""ปราจีนบุรี!J490"")"),3)</f>
        <v>3</v>
      </c>
      <c r="K595" s="163">
        <f t="shared" ca="1" si="125"/>
        <v>150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IFERROR(__xludf.DUMMYFUNCTION("IMPORTRANGE(""https://docs.google.com/spreadsheets/d/1SX6NBoVAgQJ6U1MVXOaj8PK2l7WJ3RER9xtqwdhxkhw/edit?usp=sharing"",""ปราจีนบุรี!I491"")"),0)</f>
        <v>0</v>
      </c>
      <c r="J596" s="242">
        <f ca="1">IFERROR(__xludf.DUMMYFUNCTION("IMPORTRANGE(""https://docs.google.com/spreadsheets/d/1SX6NBoVAgQJ6U1MVXOaj8PK2l7WJ3RER9xtqwdhxkhw/edit?usp=sharing"",""ปราจีนบุรี!J491"")"),8.68)</f>
        <v>8.68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7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IFERROR(__xludf.DUMMYFUNCTION("IMPORTRANGE(""https://docs.google.com/spreadsheets/d/1SX6NBoVAgQJ6U1MVXOaj8PK2l7WJ3RER9xtqwdhxkhw/edit?usp=sharing"",""ปราจีนบุรี!M492"")"),800)</f>
        <v>800</v>
      </c>
      <c r="O597" s="412">
        <f t="shared" ref="O597:O601" ca="1" si="126">+IF(L597&gt;0,N597*100/L597,0)</f>
        <v>17.582417582417584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IFERROR(__xludf.DUMMYFUNCTION("IMPORTRANGE(""https://docs.google.com/spreadsheets/d/1SX6NBoVAgQJ6U1MVXOaj8PK2l7WJ3RER9xtqwdhxkhw/edit?usp=sharing"",""ปราจีนบุรี!L493"")"),0)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IFERROR(__xludf.DUMMYFUNCTION("IMPORTRANGE(""https://docs.google.com/spreadsheets/d/1SX6NBoVAgQJ6U1MVXOaj8PK2l7WJ3RER9xtqwdhxkhw/edit?usp=sharing"",""ปราจีนบุรี!M493"")"),0)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IFERROR(__xludf.DUMMYFUNCTION("IMPORTRANGE(""https://docs.google.com/spreadsheets/d/1SX6NBoVAgQJ6U1MVXOaj8PK2l7WJ3RER9xtqwdhxkhw/edit?usp=sharing"",""ปราจีนบุรี!L494"")"),4550)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IFERROR(__xludf.DUMMYFUNCTION("IMPORTRANGE(""https://docs.google.com/spreadsheets/d/1SX6NBoVAgQJ6U1MVXOaj8PK2l7WJ3RER9xtqwdhxkhw/edit?usp=sharing"",""ปราจีนบุรี!M494"")"),800)</f>
        <v>800</v>
      </c>
      <c r="O599" s="169">
        <f t="shared" ca="1" si="126"/>
        <v>17.582417582417584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IFERROR(__xludf.DUMMYFUNCTION("IMPORTRANGE(""https://docs.google.com/spreadsheets/d/1SX6NBoVAgQJ6U1MVXOaj8PK2l7WJ3RER9xtqwdhxkhw/edit?usp=sharing"",""ปราจีนบุรี!L495"")"),0)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IFERROR(__xludf.DUMMYFUNCTION("IMPORTRANGE(""https://docs.google.com/spreadsheets/d/1SX6NBoVAgQJ6U1MVXOaj8PK2l7WJ3RER9xtqwdhxkhw/edit?usp=sharing"",""ปราจีนบุรี!M495"")"),0)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IFERROR(__xludf.DUMMYFUNCTION("IMPORTRANGE(""https://docs.google.com/spreadsheets/d/1SX6NBoVAgQJ6U1MVXOaj8PK2l7WJ3RER9xtqwdhxkhw/edit?usp=sharing"",""ปราจีนบุรี!L496"")"),4550)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IFERROR(__xludf.DUMMYFUNCTION("IMPORTRANGE(""https://docs.google.com/spreadsheets/d/1SX6NBoVAgQJ6U1MVXOaj8PK2l7WJ3RER9xtqwdhxkhw/edit?usp=sharing"",""ปราจีนบุรี!M496"")"),800)</f>
        <v>800</v>
      </c>
      <c r="O601" s="169">
        <f t="shared" ca="1" si="126"/>
        <v>17.582417582417584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IFERROR(__xludf.DUMMYFUNCTION("IMPORTRANGE(""https://docs.google.com/spreadsheets/d/1SX6NBoVAgQJ6U1MVXOaj8PK2l7WJ3RER9xtqwdhxkhw/edit?usp=sharing"",""ปราจีนบุรี!M497"")"),0)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IFERROR(__xludf.DUMMYFUNCTION("IMPORTRANGE(""https://docs.google.com/spreadsheets/d/1SX6NBoVAgQJ6U1MVXOaj8PK2l7WJ3RER9xtqwdhxkhw/edit?usp=sharing"",""ปราจีนบุรี!M498"")"),0)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IFERROR(__xludf.DUMMYFUNCTION("IMPORTRANGE(""https://docs.google.com/spreadsheets/d/1SX6NBoVAgQJ6U1MVXOaj8PK2l7WJ3RER9xtqwdhxkhw/edit?usp=sharing"",""ปราจีนบุรี!M499"")"),800)</f>
        <v>800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IFERROR(__xludf.DUMMYFUNCTION("IMPORTRANGE(""https://docs.google.com/spreadsheets/d/1SX6NBoVAgQJ6U1MVXOaj8PK2l7WJ3RER9xtqwdhxkhw/edit?usp=sharing"",""ปราจีนบุรี!J502"")"),0)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IFERROR(__xludf.DUMMYFUNCTION("IMPORTRANGE(""https://docs.google.com/spreadsheets/d/1SX6NBoVAgQJ6U1MVXOaj8PK2l7WJ3RER9xtqwdhxkhw/edit?usp=sharing"",""ปราจีนบุรี!J503"")"),1)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IFERROR(__xludf.DUMMYFUNCTION("IMPORTRANGE(""https://docs.google.com/spreadsheets/d/1SX6NBoVAgQJ6U1MVXOaj8PK2l7WJ3RER9xtqwdhxkhw/edit?usp=sharing"",""ปราจีนบุรี!J166"")"),0)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IFERROR(__xludf.DUMMYFUNCTION("IMPORTRANGE(""https://docs.google.com/spreadsheets/d/1SX6NBoVAgQJ6U1MVXOaj8PK2l7WJ3RER9xtqwdhxkhw/edit?usp=sharing"",""ปราจีนบุรี!J166"")"),0)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IFERROR(__xludf.DUMMYFUNCTION("IMPORTRANGE(""https://docs.google.com/spreadsheets/d/1SX6NBoVAgQJ6U1MVXOaj8PK2l7WJ3RER9xtqwdhxkhw/edit?usp=sharing"",""ปราจีนบุรี!I506"")"),50)</f>
        <v>50</v>
      </c>
      <c r="J611" s="162">
        <f ca="1">IFERROR(__xludf.DUMMYFUNCTION("IMPORTRANGE(""https://docs.google.com/spreadsheets/d/1SX6NBoVAgQJ6U1MVXOaj8PK2l7WJ3RER9xtqwdhxkhw/edit?usp=sharing"",""ปราจีนบุรี!J506"")"),0)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IFERROR(__xludf.DUMMYFUNCTION("IMPORTRANGE(""https://docs.google.com/spreadsheets/d/1SX6NBoVAgQJ6U1MVXOaj8PK2l7WJ3RER9xtqwdhxkhw/edit?usp=sharing"",""ปราจีนบุรี!I507"")"),0)</f>
        <v>0</v>
      </c>
      <c r="J612" s="198">
        <f ca="1">IFERROR(__xludf.DUMMYFUNCTION("IMPORTRANGE(""https://docs.google.com/spreadsheets/d/1SX6NBoVAgQJ6U1MVXOaj8PK2l7WJ3RER9xtqwdhxkhw/edit?usp=sharing"",""ปราจีนบุรี!J507"")"),0)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IFERROR(__xludf.DUMMYFUNCTION("IMPORTRANGE(""https://docs.google.com/spreadsheets/d/1SX6NBoVAgQJ6U1MVXOaj8PK2l7WJ3RER9xtqwdhxkhw/edit?usp=sharing"",""ปราจีนบุรี!I508"")"),0)</f>
        <v>0</v>
      </c>
      <c r="J613" s="198">
        <f ca="1">IFERROR(__xludf.DUMMYFUNCTION("IMPORTRANGE(""https://docs.google.com/spreadsheets/d/1SX6NBoVAgQJ6U1MVXOaj8PK2l7WJ3RER9xtqwdhxkhw/edit?usp=sharing"",""ปราจีนบุรี!J508"")"),0)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IFERROR(__xludf.DUMMYFUNCTION("IMPORTRANGE(""https://docs.google.com/spreadsheets/d/1SX6NBoVAgQJ6U1MVXOaj8PK2l7WJ3RER9xtqwdhxkhw/edit?usp=sharing"",""ปราจีนบุรี!I509"")"),0)</f>
        <v>0</v>
      </c>
      <c r="J614" s="198">
        <f ca="1">IFERROR(__xludf.DUMMYFUNCTION("IMPORTRANGE(""https://docs.google.com/spreadsheets/d/1SX6NBoVAgQJ6U1MVXOaj8PK2l7WJ3RER9xtqwdhxkhw/edit?usp=sharing"",""ปราจีนบุรี!J509"")"),0)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IFERROR(__xludf.DUMMYFUNCTION("IMPORTRANGE(""https://docs.google.com/spreadsheets/d/1SX6NBoVAgQJ6U1MVXOaj8PK2l7WJ3RER9xtqwdhxkhw/edit?usp=sharing"",""ปราจีนบุรี!I510"")"),0)</f>
        <v>0</v>
      </c>
      <c r="J615" s="198">
        <f ca="1">IFERROR(__xludf.DUMMYFUNCTION("IMPORTRANGE(""https://docs.google.com/spreadsheets/d/1SX6NBoVAgQJ6U1MVXOaj8PK2l7WJ3RER9xtqwdhxkhw/edit?usp=sharing"",""ปราจีนบุรี!J510"")"),0)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IFERROR(__xludf.DUMMYFUNCTION("IMPORTRANGE(""https://docs.google.com/spreadsheets/d/1SX6NBoVAgQJ6U1MVXOaj8PK2l7WJ3RER9xtqwdhxkhw/edit?usp=sharing"",""ปราจีนบุรี!I511"")"),0)</f>
        <v>0</v>
      </c>
      <c r="J616" s="198">
        <f ca="1">IFERROR(__xludf.DUMMYFUNCTION("IMPORTRANGE(""https://docs.google.com/spreadsheets/d/1SX6NBoVAgQJ6U1MVXOaj8PK2l7WJ3RER9xtqwdhxkhw/edit?usp=sharing"",""ปราจีนบุรี!J511"")"),0)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IFERROR(__xludf.DUMMYFUNCTION("IMPORTRANGE(""https://docs.google.com/spreadsheets/d/1SX6NBoVAgQJ6U1MVXOaj8PK2l7WJ3RER9xtqwdhxkhw/edit?usp=sharing"",""ปราจีนบุรี!I512"")"),0)</f>
        <v>0</v>
      </c>
      <c r="J617" s="188">
        <f ca="1">IFERROR(__xludf.DUMMYFUNCTION("IMPORTRANGE(""https://docs.google.com/spreadsheets/d/1SX6NBoVAgQJ6U1MVXOaj8PK2l7WJ3RER9xtqwdhxkhw/edit?usp=sharing"",""ปราจีนบุรี!J512"")"),0)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IFERROR(__xludf.DUMMYFUNCTION("IMPORTRANGE(""https://docs.google.com/spreadsheets/d/1SX6NBoVAgQJ6U1MVXOaj8PK2l7WJ3RER9xtqwdhxkhw/edit?usp=sharing"",""ปราจีนบุรี!I513"")"),0)</f>
        <v>0</v>
      </c>
      <c r="J618" s="189">
        <f ca="1">IFERROR(__xludf.DUMMYFUNCTION("IMPORTRANGE(""https://docs.google.com/spreadsheets/d/1SX6NBoVAgQJ6U1MVXOaj8PK2l7WJ3RER9xtqwdhxkhw/edit?usp=sharing"",""ปราจีนบุรี!J513"")"),0)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IFERROR(__xludf.DUMMYFUNCTION("IMPORTRANGE(""https://docs.google.com/spreadsheets/d/1SX6NBoVAgQJ6U1MVXOaj8PK2l7WJ3RER9xtqwdhxkhw/edit?usp=sharing"",""ปราจีนบุรี!I514"")"),0)</f>
        <v>0</v>
      </c>
      <c r="J619" s="189">
        <f ca="1">IFERROR(__xludf.DUMMYFUNCTION("IMPORTRANGE(""https://docs.google.com/spreadsheets/d/1SX6NBoVAgQJ6U1MVXOaj8PK2l7WJ3RER9xtqwdhxkhw/edit?usp=sharing"",""ปราจีนบุรี!J514"")"),0)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IFERROR(__xludf.DUMMYFUNCTION("IMPORTRANGE(""https://docs.google.com/spreadsheets/d/1SX6NBoVAgQJ6U1MVXOaj8PK2l7WJ3RER9xtqwdhxkhw/edit?usp=sharing"",""ปราจีนบุรี!I515"")"),0)</f>
        <v>0</v>
      </c>
      <c r="J620" s="203">
        <f ca="1">IFERROR(__xludf.DUMMYFUNCTION("IMPORTRANGE(""https://docs.google.com/spreadsheets/d/1SX6NBoVAgQJ6U1MVXOaj8PK2l7WJ3RER9xtqwdhxkhw/edit?usp=sharing"",""ปราจีนบุรี!J515"")"),0)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IFERROR(__xludf.DUMMYFUNCTION("IMPORTRANGE(""https://docs.google.com/spreadsheets/d/1SX6NBoVAgQJ6U1MVXOaj8PK2l7WJ3RER9xtqwdhxkhw/edit?usp=sharing"",""ปราจีนบุรี!I516"")"),0)</f>
        <v>0</v>
      </c>
      <c r="J621" s="203">
        <f ca="1">IFERROR(__xludf.DUMMYFUNCTION("IMPORTRANGE(""https://docs.google.com/spreadsheets/d/1SX6NBoVAgQJ6U1MVXOaj8PK2l7WJ3RER9xtqwdhxkhw/edit?usp=sharing"",""ปราจีนบุรี!J516"")"),0)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IFERROR(__xludf.DUMMYFUNCTION("IMPORTRANGE(""https://docs.google.com/spreadsheets/d/1SX6NBoVAgQJ6U1MVXOaj8PK2l7WJ3RER9xtqwdhxkhw/edit?usp=sharing"",""ปราจีนบุรี!I517"")"),0)</f>
        <v>0</v>
      </c>
      <c r="J622" s="189">
        <f ca="1">IFERROR(__xludf.DUMMYFUNCTION("IMPORTRANGE(""https://docs.google.com/spreadsheets/d/1SX6NBoVAgQJ6U1MVXOaj8PK2l7WJ3RER9xtqwdhxkhw/edit?usp=sharing"",""ปราจีนบุรี!J517"")"),0)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IFERROR(__xludf.DUMMYFUNCTION("IMPORTRANGE(""https://docs.google.com/spreadsheets/d/1SX6NBoVAgQJ6U1MVXOaj8PK2l7WJ3RER9xtqwdhxkhw/edit?usp=sharing"",""ปราจีนบุรี!I518"")"),0)</f>
        <v>0</v>
      </c>
      <c r="J623" s="189">
        <f ca="1">IFERROR(__xludf.DUMMYFUNCTION("IMPORTRANGE(""https://docs.google.com/spreadsheets/d/1SX6NBoVAgQJ6U1MVXOaj8PK2l7WJ3RER9xtqwdhxkhw/edit?usp=sharing"",""ปราจีนบุรี!J518"")"),0)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IFERROR(__xludf.DUMMYFUNCTION("IMPORTRANGE(""https://docs.google.com/spreadsheets/d/1SX6NBoVAgQJ6U1MVXOaj8PK2l7WJ3RER9xtqwdhxkhw/edit?usp=sharing"",""ปราจีนบุรี!I519"")"),0)</f>
        <v>0</v>
      </c>
      <c r="J624" s="188">
        <f ca="1">IFERROR(__xludf.DUMMYFUNCTION("IMPORTRANGE(""https://docs.google.com/spreadsheets/d/1SX6NBoVAgQJ6U1MVXOaj8PK2l7WJ3RER9xtqwdhxkhw/edit?usp=sharing"",""ปราจีนบุรี!J519"")"),0)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IFERROR(__xludf.DUMMYFUNCTION("IMPORTRANGE(""https://docs.google.com/spreadsheets/d/1SX6NBoVAgQJ6U1MVXOaj8PK2l7WJ3RER9xtqwdhxkhw/edit?usp=sharing"",""ปราจีนบุรี!I520"")"),0)</f>
        <v>0</v>
      </c>
      <c r="J625" s="189">
        <f ca="1">IFERROR(__xludf.DUMMYFUNCTION("IMPORTRANGE(""https://docs.google.com/spreadsheets/d/1SX6NBoVAgQJ6U1MVXOaj8PK2l7WJ3RER9xtqwdhxkhw/edit?usp=sharing"",""ปราจีนบุรี!J520"")"),0)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IFERROR(__xludf.DUMMYFUNCTION("IMPORTRANGE(""https://docs.google.com/spreadsheets/d/1SX6NBoVAgQJ6U1MVXOaj8PK2l7WJ3RER9xtqwdhxkhw/edit?usp=sharing"",""ปราจีนบุรี!I521"")"),0)</f>
        <v>0</v>
      </c>
      <c r="J626" s="189">
        <f ca="1">IFERROR(__xludf.DUMMYFUNCTION("IMPORTRANGE(""https://docs.google.com/spreadsheets/d/1SX6NBoVAgQJ6U1MVXOaj8PK2l7WJ3RER9xtqwdhxkhw/edit?usp=sharing"",""ปราจีนบุรี!J521"")"),0)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2">
        <f ca="1">IFERROR(__xludf.DUMMYFUNCTION("IMPORTRANGE(""https://docs.google.com/spreadsheets/d/1SX6NBoVAgQJ6U1MVXOaj8PK2l7WJ3RER9xtqwdhxkhw/edit?usp=sharing"",""ปราจีนบุรี!J523"")"),2175172.6)</f>
        <v>2175172.6</v>
      </c>
      <c r="K628" s="343">
        <f t="shared" ref="K628:K635" ca="1" si="129">IF(I628&gt;0,J628*100/I628,0)</f>
        <v>23.589500961258786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IFERROR(__xludf.DUMMYFUNCTION("IMPORTRANGE(""https://docs.google.com/spreadsheets/d/1SX6NBoVAgQJ6U1MVXOaj8PK2l7WJ3RER9xtqwdhxkhw/edit?usp=sharing"",""ปราจีนบุรี!I524"")"),216)</f>
        <v>216</v>
      </c>
      <c r="J629" s="342">
        <f ca="1">IFERROR(__xludf.DUMMYFUNCTION("IMPORTRANGE(""https://docs.google.com/spreadsheets/d/1SX6NBoVAgQJ6U1MVXOaj8PK2l7WJ3RER9xtqwdhxkhw/edit?usp=sharing"",""ปราจีนบุรี!J524"")"),53)</f>
        <v>53</v>
      </c>
      <c r="K629" s="343">
        <f t="shared" ca="1" si="129"/>
        <v>24.537037037037038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2">
        <f ca="1">IFERROR(__xludf.DUMMYFUNCTION("IMPORTRANGE(""https://docs.google.com/spreadsheets/d/1SX6NBoVAgQJ6U1MVXOaj8PK2l7WJ3RER9xtqwdhxkhw/edit?usp=sharing"",""ปราจีนบุรี!J525"")"),604151.98)</f>
        <v>604151.98</v>
      </c>
      <c r="K630" s="343">
        <f t="shared" ca="1" si="129"/>
        <v>8.9474229689868494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IFERROR(__xludf.DUMMYFUNCTION("IMPORTRANGE(""https://docs.google.com/spreadsheets/d/1SX6NBoVAgQJ6U1MVXOaj8PK2l7WJ3RER9xtqwdhxkhw/edit?usp=sharing"",""ปราจีนบุรี!I526"")"),154)</f>
        <v>154</v>
      </c>
      <c r="J631" s="342">
        <f ca="1">IFERROR(__xludf.DUMMYFUNCTION("IMPORTRANGE(""https://docs.google.com/spreadsheets/d/1SX6NBoVAgQJ6U1MVXOaj8PK2l7WJ3RER9xtqwdhxkhw/edit?usp=sharing"",""ปราจีนบุรี!J526"")"),56)</f>
        <v>56</v>
      </c>
      <c r="K631" s="343">
        <f t="shared" ca="1" si="129"/>
        <v>36.363636363636367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2">
        <f ca="1">IFERROR(__xludf.DUMMYFUNCTION("IMPORTRANGE(""https://docs.google.com/spreadsheets/d/1SX6NBoVAgQJ6U1MVXOaj8PK2l7WJ3RER9xtqwdhxkhw/edit?usp=sharing"",""ปราจีนบุรี!J527"")"),293412.11)</f>
        <v>293412.11</v>
      </c>
      <c r="K632" s="343">
        <f t="shared" ca="1" si="129"/>
        <v>103.47859955854479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IFERROR(__xludf.DUMMYFUNCTION("IMPORTRANGE(""https://docs.google.com/spreadsheets/d/1SX6NBoVAgQJ6U1MVXOaj8PK2l7WJ3RER9xtqwdhxkhw/edit?usp=sharing"",""ปราจีนบุรี!I528"")"),136)</f>
        <v>136</v>
      </c>
      <c r="J633" s="342">
        <f ca="1">IFERROR(__xludf.DUMMYFUNCTION("IMPORTRANGE(""https://docs.google.com/spreadsheets/d/1SX6NBoVAgQJ6U1MVXOaj8PK2l7WJ3RER9xtqwdhxkhw/edit?usp=sharing"",""ปราจีนบุรี!J528"")"),120)</f>
        <v>120</v>
      </c>
      <c r="K633" s="343">
        <f t="shared" ca="1" si="129"/>
        <v>88.235294117647058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IFERROR(__xludf.DUMMYFUNCTION("IMPORTRANGE(""https://docs.google.com/spreadsheets/d/1SX6NBoVAgQJ6U1MVXOaj8PK2l7WJ3RER9xtqwdhxkhw/edit?usp=sharing"",""ปราจีนบุรี!I529"")"),4500000)</f>
        <v>4500000</v>
      </c>
      <c r="J634" s="342">
        <f ca="1">IFERROR(__xludf.DUMMYFUNCTION("IMPORTRANGE(""https://docs.google.com/spreadsheets/d/1SX6NBoVAgQJ6U1MVXOaj8PK2l7WJ3RER9xtqwdhxkhw/edit?usp=sharing"",""ปราจีนบุรี!J529"")"),1940000)</f>
        <v>1940000</v>
      </c>
      <c r="K634" s="343">
        <f t="shared" ca="1" si="129"/>
        <v>43.111111111111114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IFERROR(__xludf.DUMMYFUNCTION("IMPORTRANGE(""https://docs.google.com/spreadsheets/d/1SX6NBoVAgQJ6U1MVXOaj8PK2l7WJ3RER9xtqwdhxkhw/edit?usp=sharing"",""ปราจีนบุรี!I530"")"),90)</f>
        <v>90</v>
      </c>
      <c r="J635" s="504">
        <f ca="1">IFERROR(__xludf.DUMMYFUNCTION("IMPORTRANGE(""https://docs.google.com/spreadsheets/d/1SX6NBoVAgQJ6U1MVXOaj8PK2l7WJ3RER9xtqwdhxkhw/edit?usp=sharing"",""ปราจีนบุรี!J530"")"),44)</f>
        <v>44</v>
      </c>
      <c r="K635" s="486">
        <f t="shared" ca="1" si="129"/>
        <v>48.888888888888886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111300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111300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111300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IFERROR(__xludf.DUMMYFUNCTION("IMPORTRANGE(""https://docs.google.com/spreadsheets/d/1SX6NBoVAgQJ6U1MVXOaj8PK2l7WJ3RER9xtqwdhxkhw/edit#gid=346597447"",""ปราจีนบุรี!J541"")"),0)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IFERROR(__xludf.DUMMYFUNCTION("IMPORTRANGE(""https://docs.google.com/spreadsheets/d/1SX6NBoVAgQJ6U1MVXOaj8PK2l7WJ3RER9xtqwdhxkhw/edit#gid=346597447"",""ปราจีนบุรี!J542"")"),0)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IFERROR(__xludf.DUMMYFUNCTION("IMPORTRANGE(""https://docs.google.com/spreadsheets/d/1SX6NBoVAgQJ6U1MVXOaj8PK2l7WJ3RER9xtqwdhxkhw/edit#gid=346597447"",""ปราจีนบุรี!I543"")"),493)</f>
        <v>493</v>
      </c>
      <c r="J648" s="536">
        <f ca="1">IFERROR(__xludf.DUMMYFUNCTION("IMPORTRANGE(""https://docs.google.com/spreadsheets/d/1SX6NBoVAgQJ6U1MVXOaj8PK2l7WJ3RER9xtqwdhxkhw/edit#gid=346597447"",""ปราจีนบุรี!J543"")"),0)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IFERROR(__xludf.DUMMYFUNCTION("IMPORTRANGE(""https://docs.google.com/spreadsheets/d/1SX6NBoVAgQJ6U1MVXOaj8PK2l7WJ3RER9xtqwdhxkhw/edit#gid=346597447"",""ปราจีนบุรี!L543"")"),39440)</f>
        <v>39440</v>
      </c>
      <c r="M648" s="521"/>
      <c r="N648" s="538">
        <f ca="1">IFERROR(__xludf.DUMMYFUNCTION("IMPORTRANGE(""https://docs.google.com/spreadsheets/d/1SX6NBoVAgQJ6U1MVXOaj8PK2l7WJ3RER9xtqwdhxkhw/edit#gid=346597447"",""ปราจีนบุรี!M543"")"),0)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IFERROR(__xludf.DUMMYFUNCTION("IMPORTRANGE(""https://docs.google.com/spreadsheets/d/1SX6NBoVAgQJ6U1MVXOaj8PK2l7WJ3RER9xtqwdhxkhw/edit#gid=346597447"",""ปราจีนบุรี!I544"")"),171)</f>
        <v>171</v>
      </c>
      <c r="J649" s="536">
        <f ca="1">IFERROR(__xludf.DUMMYFUNCTION("IMPORTRANGE(""https://docs.google.com/spreadsheets/d/1SX6NBoVAgQJ6U1MVXOaj8PK2l7WJ3RER9xtqwdhxkhw/edit#gid=346597447"",""ปราจีนบุรี!J544"")"),0)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IFERROR(__xludf.DUMMYFUNCTION("IMPORTRANGE(""https://docs.google.com/spreadsheets/d/1SX6NBoVAgQJ6U1MVXOaj8PK2l7WJ3RER9xtqwdhxkhw/edit#gid=346597447"",""ปราจีนบุรี!L544"")"),20520)</f>
        <v>20520</v>
      </c>
      <c r="M649" s="521"/>
      <c r="N649" s="538">
        <f ca="1">IFERROR(__xludf.DUMMYFUNCTION("IMPORTRANGE(""https://docs.google.com/spreadsheets/d/1SX6NBoVAgQJ6U1MVXOaj8PK2l7WJ3RER9xtqwdhxkhw/edit#gid=346597447"",""ปราจีนบุรี!M544"")"),0)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IFERROR(__xludf.DUMMYFUNCTION("IMPORTRANGE(""https://docs.google.com/spreadsheets/d/1SX6NBoVAgQJ6U1MVXOaj8PK2l7WJ3RER9xtqwdhxkhw/edit#gid=346597447"",""ปราจีนบุรี!I545"")"),70)</f>
        <v>70</v>
      </c>
      <c r="J650" s="536">
        <f ca="1">IFERROR(__xludf.DUMMYFUNCTION("IMPORTRANGE(""https://docs.google.com/spreadsheets/d/1SX6NBoVAgQJ6U1MVXOaj8PK2l7WJ3RER9xtqwdhxkhw/edit#gid=346597447"",""ปราจีนบุรี!J545"")"),0)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IFERROR(__xludf.DUMMYFUNCTION("IMPORTRANGE(""https://docs.google.com/spreadsheets/d/1SX6NBoVAgQJ6U1MVXOaj8PK2l7WJ3RER9xtqwdhxkhw/edit#gid=346597447"",""ปราจีนบุรี!L545"")"),350)</f>
        <v>350</v>
      </c>
      <c r="M650" s="521"/>
      <c r="N650" s="538">
        <f ca="1">IFERROR(__xludf.DUMMYFUNCTION("IMPORTRANGE(""https://docs.google.com/spreadsheets/d/1SX6NBoVAgQJ6U1MVXOaj8PK2l7WJ3RER9xtqwdhxkhw/edit#gid=346597447"",""ปราจีนบุรี!M545"")"),0)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IFERROR(__xludf.DUMMYFUNCTION("IMPORTRANGE(""https://docs.google.com/spreadsheets/d/1SX6NBoVAgQJ6U1MVXOaj8PK2l7WJ3RER9xtqwdhxkhw/edit#gid=346597447"",""ปราจีนบุรี!I546"")"),62)</f>
        <v>62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IFERROR(__xludf.DUMMYFUNCTION("IMPORTRANGE(""https://docs.google.com/spreadsheets/d/1SX6NBoVAgQJ6U1MVXOaj8PK2l7WJ3RER9xtqwdhxkhw/edit#gid=346597447"",""ปราจีนบุรี!L546"")"),1550)</f>
        <v>1550</v>
      </c>
      <c r="M651" s="521"/>
      <c r="N651" s="538">
        <f ca="1">IFERROR(__xludf.DUMMYFUNCTION("IMPORTRANGE(""https://docs.google.com/spreadsheets/d/1SX6NBoVAgQJ6U1MVXOaj8PK2l7WJ3RER9xtqwdhxkhw/edit#gid=346597447"",""ปราจีนบุรี!M546"")"),0)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IFERROR(__xludf.DUMMYFUNCTION("IMPORTRANGE(""https://docs.google.com/spreadsheets/d/1SX6NBoVAgQJ6U1MVXOaj8PK2l7WJ3RER9xtqwdhxkhw/edit#gid=346597447"",""ปราจีนบุรี!J547"")"),0)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IFERROR(__xludf.DUMMYFUNCTION("IMPORTRANGE(""https://docs.google.com/spreadsheets/d/1SX6NBoVAgQJ6U1MVXOaj8PK2l7WJ3RER9xtqwdhxkhw/edit#gid=346597447"",""ปราจีนบุรี!J548"")"),0)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IFERROR(__xludf.DUMMYFUNCTION("IMPORTRANGE(""https://docs.google.com/spreadsheets/d/1SX6NBoVAgQJ6U1MVXOaj8PK2l7WJ3RER9xtqwdhxkhw/edit#gid=346597447"",""ปราจีนบุรี!J550"")"),0)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IFERROR(__xludf.DUMMYFUNCTION("IMPORTRANGE(""https://docs.google.com/spreadsheets/d/1SX6NBoVAgQJ6U1MVXOaj8PK2l7WJ3RER9xtqwdhxkhw/edit#gid=346597447"",""ปราจีนบุรี!J551"")"),0)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IFERROR(__xludf.DUMMYFUNCTION("IMPORTRANGE(""https://docs.google.com/spreadsheets/d/1SX6NBoVAgQJ6U1MVXOaj8PK2l7WJ3RER9xtqwdhxkhw/edit#gid=346597447"",""ปราจีนบุรี!J552"")"),0)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IFERROR(__xludf.DUMMYFUNCTION("IMPORTRANGE(""https://docs.google.com/spreadsheets/d/1SX6NBoVAgQJ6U1MVXOaj8PK2l7WJ3RER9xtqwdhxkhw/edit#gid=346597447"",""ปราจีนบุรี!J553"")"),0)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IFERROR(__xludf.DUMMYFUNCTION("IMPORTRANGE(""https://docs.google.com/spreadsheets/d/1SX6NBoVAgQJ6U1MVXOaj8PK2l7WJ3RER9xtqwdhxkhw/edit#gid=346597447"",""ปราจีนบุรี!J554"")"),0)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IFERROR(__xludf.DUMMYFUNCTION("IMPORTRANGE(""https://docs.google.com/spreadsheets/d/1SX6NBoVAgQJ6U1MVXOaj8PK2l7WJ3RER9xtqwdhxkhw/edit#gid=346597447"",""ปราจีนบุรี!J555"")"),0)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IFERROR(__xludf.DUMMYFUNCTION("IMPORTRANGE(""https://docs.google.com/spreadsheets/d/1SX6NBoVAgQJ6U1MVXOaj8PK2l7WJ3RER9xtqwdhxkhw/edit#gid=346597447"",""ปราจีนบุรี!J556"")"),0)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IFERROR(__xludf.DUMMYFUNCTION("IMPORTRANGE(""https://docs.google.com/spreadsheets/d/1SX6NBoVAgQJ6U1MVXOaj8PK2l7WJ3RER9xtqwdhxkhw/edit#gid=346597447"",""ปราจีนบุรี!L556"")"),4000)</f>
        <v>4000</v>
      </c>
      <c r="M661" s="521"/>
      <c r="N661" s="538">
        <f ca="1">IFERROR(__xludf.DUMMYFUNCTION("IMPORTRANGE(""https://docs.google.com/spreadsheets/d/1SX6NBoVAgQJ6U1MVXOaj8PK2l7WJ3RER9xtqwdhxkhw/edit#gid=346597447"",""ปราจีนบุรี!M556"")"),0)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IFERROR(__xludf.DUMMYFUNCTION("IMPORTRANGE(""https://docs.google.com/spreadsheets/d/1SX6NBoVAgQJ6U1MVXOaj8PK2l7WJ3RER9xtqwdhxkhw/edit#gid=346597447"",""ปราจีนบุรี!J557"")"),0)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IFERROR(__xludf.DUMMYFUNCTION("IMPORTRANGE(""https://docs.google.com/spreadsheets/d/1SX6NBoVAgQJ6U1MVXOaj8PK2l7WJ3RER9xtqwdhxkhw/edit#gid=346597447"",""ปราจีนบุรี!I558"")"),100)</f>
        <v>100</v>
      </c>
      <c r="J663" s="536">
        <f ca="1">IFERROR(__xludf.DUMMYFUNCTION("IMPORTRANGE(""https://docs.google.com/spreadsheets/d/1SX6NBoVAgQJ6U1MVXOaj8PK2l7WJ3RER9xtqwdhxkhw/edit#gid=346597447"",""ปราจีนบุรี!J558"")"),0)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IFERROR(__xludf.DUMMYFUNCTION("IMPORTRANGE(""https://docs.google.com/spreadsheets/d/1SX6NBoVAgQJ6U1MVXOaj8PK2l7WJ3RER9xtqwdhxkhw/edit#gid=346597447"",""ปราจีนบุรี!I560"")"),10)</f>
        <v>10</v>
      </c>
      <c r="J665" s="536">
        <f ca="1">IFERROR(__xludf.DUMMYFUNCTION("IMPORTRANGE(""https://docs.google.com/spreadsheets/d/1SX6NBoVAgQJ6U1MVXOaj8PK2l7WJ3RER9xtqwdhxkhw/edit#gid=346597447"",""ปราจีนบุรี!J560"")"),1)</f>
        <v>1</v>
      </c>
      <c r="K665" s="537">
        <f ca="1">IF(I665&gt;0,J665*100/I665,0)</f>
        <v>10</v>
      </c>
      <c r="L665" s="522">
        <f ca="1">IFERROR(__xludf.DUMMYFUNCTION("IMPORTRANGE(""https://docs.google.com/spreadsheets/d/1SX6NBoVAgQJ6U1MVXOaj8PK2l7WJ3RER9xtqwdhxkhw/edit#gid=346597447"",""ปราจีนบุรี!L560"")"),1200)</f>
        <v>1200</v>
      </c>
      <c r="M665" s="521"/>
      <c r="N665" s="538">
        <f ca="1">IFERROR(__xludf.DUMMYFUNCTION("IMPORTRANGE(""https://docs.google.com/spreadsheets/d/1SX6NBoVAgQJ6U1MVXOaj8PK2l7WJ3RER9xtqwdhxkhw/edit#gid=346597447"",""ปราจีนบุรี!M560"")"),0)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IFERROR(__xludf.DUMMYFUNCTION("IMPORTRANGE(""https://docs.google.com/spreadsheets/d/1SX6NBoVAgQJ6U1MVXOaj8PK2l7WJ3RER9xtqwdhxkhw/edit#gid=346597447"",""ปราจีนบุรี!J561"")"),1)</f>
        <v>1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IFERROR(__xludf.DUMMYFUNCTION("IMPORTRANGE(""https://docs.google.com/spreadsheets/d/1SX6NBoVAgQJ6U1MVXOaj8PK2l7WJ3RER9xtqwdhxkhw/edit#gid=346597447"",""ปราจีนบุรี!J562"")"),25.82)</f>
        <v>25.82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IFERROR(__xludf.DUMMYFUNCTION("IMPORTRANGE(""https://docs.google.com/spreadsheets/d/1SX6NBoVAgQJ6U1MVXOaj8PK2l7WJ3RER9xtqwdhxkhw/edit#gid=346597447"",""ปราจีนบุรี!I563"")"),40)</f>
        <v>40</v>
      </c>
      <c r="J668" s="536">
        <f ca="1">IFERROR(__xludf.DUMMYFUNCTION("IMPORTRANGE(""https://docs.google.com/spreadsheets/d/1SX6NBoVAgQJ6U1MVXOaj8PK2l7WJ3RER9xtqwdhxkhw/edit#gid=346597447"",""ปราจีนบุรี!J563"")"),0)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IFERROR(__xludf.DUMMYFUNCTION("IMPORTRANGE(""https://docs.google.com/spreadsheets/d/1SX6NBoVAgQJ6U1MVXOaj8PK2l7WJ3RER9xtqwdhxkhw/edit#gid=346597447"",""ปราจีนบุรี!L563"")"),36800)</f>
        <v>36800</v>
      </c>
      <c r="M668" s="521"/>
      <c r="N668" s="538">
        <f ca="1">IFERROR(__xludf.DUMMYFUNCTION("IMPORTRANGE(""https://docs.google.com/spreadsheets/d/1SX6NBoVAgQJ6U1MVXOaj8PK2l7WJ3RER9xtqwdhxkhw/edit#gid=346597447"",""ปราจีนบุรี!M563"")"),0)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IFERROR(__xludf.DUMMYFUNCTION("IMPORTRANGE(""https://docs.google.com/spreadsheets/d/1SX6NBoVAgQJ6U1MVXOaj8PK2l7WJ3RER9xtqwdhxkhw/edit#gid=346597447"",""ปราจีนบุรี!J564"")"),0)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IFERROR(__xludf.DUMMYFUNCTION("IMPORTRANGE(""https://docs.google.com/spreadsheets/d/1SX6NBoVAgQJ6U1MVXOaj8PK2l7WJ3RER9xtqwdhxkhw/edit#gid=346597447"",""ปราจีนบุรี!J565"")"),0)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IFERROR(__xludf.DUMMYFUNCTION("IMPORTRANGE(""https://docs.google.com/spreadsheets/d/1SX6NBoVAgQJ6U1MVXOaj8PK2l7WJ3RER9xtqwdhxkhw/edit#gid=346597447"",""ปราจีนบุรี!I566"")"),93)</f>
        <v>93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IFERROR(__xludf.DUMMYFUNCTION("IMPORTRANGE(""https://docs.google.com/spreadsheets/d/1SX6NBoVAgQJ6U1MVXOaj8PK2l7WJ3RER9xtqwdhxkhw/edit#gid=346597447"",""ปราจีนบุรี!L566"")"),7440)</f>
        <v>7440</v>
      </c>
      <c r="M671" s="521"/>
      <c r="N671" s="538">
        <f ca="1">IFERROR(__xludf.DUMMYFUNCTION("IMPORTRANGE(""https://docs.google.com/spreadsheets/d/1SX6NBoVAgQJ6U1MVXOaj8PK2l7WJ3RER9xtqwdhxkhw/edit#gid=346597447"",""ปราจีนบุรี!M566"")"),0)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IFERROR(__xludf.DUMMYFUNCTION("IMPORTRANGE(""https://docs.google.com/spreadsheets/d/1SX6NBoVAgQJ6U1MVXOaj8PK2l7WJ3RER9xtqwdhxkhw/edit#gid=346597447"",""ปราจีนบุรี!J567"")"),0)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IFERROR(__xludf.DUMMYFUNCTION("IMPORTRANGE(""https://docs.google.com/spreadsheets/d/1SX6NBoVAgQJ6U1MVXOaj8PK2l7WJ3RER9xtqwdhxkhw/edit#gid=346597447"",""ปราจีนบุรี!J568"")"),0)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IFERROR(__xludf.DUMMYFUNCTION("IMPORTRANGE(""https://docs.google.com/spreadsheets/d/1SX6NBoVAgQJ6U1MVXOaj8PK2l7WJ3RER9xtqwdhxkhw/edit#gid=346597447"",""ปราจีนบุรี!J569"")"),0)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IFERROR(__xludf.DUMMYFUNCTION("IMPORTRANGE(""https://docs.google.com/spreadsheets/d/1SX6NBoVAgQJ6U1MVXOaj8PK2l7WJ3RER9xtqwdhxkhw/edit#gid=346597447"",""ปราจีนบุรี!J570"")"),0)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IFERROR(__xludf.DUMMYFUNCTION("IMPORTRANGE(""https://docs.google.com/spreadsheets/d/1SX6NBoVAgQJ6U1MVXOaj8PK2l7WJ3RER9xtqwdhxkhw/edit#gid=346597447"",""ปราจีนบุรี!J571"")"),0)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IFERROR(__xludf.DUMMYFUNCTION("IMPORTRANGE(""https://docs.google.com/spreadsheets/d/1SX6NBoVAgQJ6U1MVXOaj8PK2l7WJ3RER9xtqwdhxkhw/edit#gid=346597447"",""ปราจีนบุรี!J572"")"),0)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282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3087582</v>
      </c>
      <c r="M8" s="23">
        <f t="shared" ca="1" si="0"/>
        <v>2265969.2800000003</v>
      </c>
      <c r="N8" s="23">
        <f t="shared" ca="1" si="0"/>
        <v>1980264.11</v>
      </c>
      <c r="O8" s="22">
        <f t="shared" ref="O8:O16" ca="1" si="1">IF(L8&gt;0,N8*100/L8,0)</f>
        <v>64.136405446073979</v>
      </c>
      <c r="P8" s="22">
        <f t="shared" ref="P8:P16" ca="1" si="2">IF(M8&gt;0,N8*100/M8,0)</f>
        <v>87.391480876563335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3087582</v>
      </c>
      <c r="M10" s="30">
        <f t="shared" ca="1" si="4"/>
        <v>2265969.2800000003</v>
      </c>
      <c r="N10" s="30">
        <f t="shared" ca="1" si="4"/>
        <v>1980264.11</v>
      </c>
      <c r="O10" s="29">
        <f t="shared" ca="1" si="1"/>
        <v>64.136405446073979</v>
      </c>
      <c r="P10" s="29">
        <f t="shared" ca="1" si="2"/>
        <v>87.391480876563335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3034382</v>
      </c>
      <c r="M12" s="38">
        <f t="shared" ca="1" si="6"/>
        <v>2212769.2800000003</v>
      </c>
      <c r="N12" s="38">
        <f t="shared" ca="1" si="6"/>
        <v>1927064.11</v>
      </c>
      <c r="O12" s="38">
        <f t="shared" ca="1" si="1"/>
        <v>63.50763054882345</v>
      </c>
      <c r="P12" s="38">
        <f t="shared" ca="1" si="2"/>
        <v>87.088343435425841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1483382</v>
      </c>
      <c r="M14" s="38">
        <f t="shared" si="8"/>
        <v>0</v>
      </c>
      <c r="N14" s="38">
        <f t="shared" ca="1" si="8"/>
        <v>335256.8</v>
      </c>
      <c r="O14" s="38">
        <f t="shared" ca="1" si="1"/>
        <v>22.600840511749503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2451635</v>
      </c>
      <c r="M18" s="23">
        <f t="shared" ca="1" si="11"/>
        <v>2265969.2800000003</v>
      </c>
      <c r="N18" s="23">
        <f t="shared" ca="1" si="11"/>
        <v>1645007.31</v>
      </c>
      <c r="O18" s="22">
        <f t="shared" ref="O18:O20" ca="1" si="12">IF(L18&gt;0,N18*100/L18,0)</f>
        <v>67.098377613307036</v>
      </c>
      <c r="P18" s="22">
        <f t="shared" ref="P18:P26" ca="1" si="13">IF(M18&gt;0,N18*100/M18,0)</f>
        <v>72.596187623514467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2451635</v>
      </c>
      <c r="M20" s="30">
        <f t="shared" ca="1" si="15"/>
        <v>2265969.2800000003</v>
      </c>
      <c r="N20" s="30">
        <f t="shared" ca="1" si="15"/>
        <v>1645007.31</v>
      </c>
      <c r="O20" s="29">
        <f t="shared" ca="1" si="12"/>
        <v>67.098377613307036</v>
      </c>
      <c r="P20" s="29">
        <f t="shared" ca="1" si="13"/>
        <v>72.596187623514467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2398435</v>
      </c>
      <c r="M22" s="41">
        <f t="shared" ca="1" si="18"/>
        <v>2212769.2800000003</v>
      </c>
      <c r="N22" s="38">
        <f t="shared" ca="1" si="18"/>
        <v>1591807.31</v>
      </c>
      <c r="O22" s="38">
        <f t="shared" ca="1" si="17"/>
        <v>66.368582429792767</v>
      </c>
      <c r="P22" s="38">
        <f t="shared" ca="1" si="13"/>
        <v>71.937337723705198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847435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635947</v>
      </c>
      <c r="M28" s="23">
        <f t="shared" si="23"/>
        <v>0</v>
      </c>
      <c r="N28" s="23">
        <f t="shared" ca="1" si="23"/>
        <v>335256.8</v>
      </c>
      <c r="O28" s="22">
        <f t="shared" ref="O28:O30" ca="1" si="24">IF(L28&gt;0,N28*100/L28,0)</f>
        <v>52.717726477206433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635947</v>
      </c>
      <c r="M30" s="30">
        <f t="shared" si="27"/>
        <v>0</v>
      </c>
      <c r="N30" s="30">
        <f t="shared" ca="1" si="27"/>
        <v>335256.8</v>
      </c>
      <c r="O30" s="29">
        <f t="shared" ca="1" si="24"/>
        <v>52.717726477206433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635947</v>
      </c>
      <c r="M32" s="38">
        <f t="shared" si="30"/>
        <v>0</v>
      </c>
      <c r="N32" s="38">
        <f t="shared" ca="1" si="30"/>
        <v>335256.8</v>
      </c>
      <c r="O32" s="38">
        <f t="shared" ca="1" si="29"/>
        <v>52.717726477206433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635947</v>
      </c>
      <c r="M34" s="38">
        <f t="shared" si="32"/>
        <v>0</v>
      </c>
      <c r="N34" s="38">
        <f t="shared" ca="1" si="32"/>
        <v>335256.8</v>
      </c>
      <c r="O34" s="38">
        <f t="shared" ca="1" si="29"/>
        <v>52.717726477206433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2451635</v>
      </c>
      <c r="M37" s="54">
        <f t="shared" ca="1" si="33"/>
        <v>2265969.2800000003</v>
      </c>
      <c r="N37" s="54">
        <f t="shared" ca="1" si="33"/>
        <v>1645007.31</v>
      </c>
      <c r="O37" s="55">
        <f t="shared" ca="1" si="29"/>
        <v>67.098377613307036</v>
      </c>
      <c r="P37" s="55">
        <f t="shared" ca="1" si="25"/>
        <v>72.596187623514467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353800</v>
      </c>
      <c r="M41" s="78">
        <f t="shared" ca="1" si="34"/>
        <v>265400</v>
      </c>
      <c r="N41" s="78">
        <f t="shared" ca="1" si="34"/>
        <v>236638.84</v>
      </c>
      <c r="O41" s="77">
        <f t="shared" ref="O41:O43" ca="1" si="35">IF(L41&gt;0,N41*100/L41,0)</f>
        <v>66.884918032786885</v>
      </c>
      <c r="P41" s="77">
        <f t="shared" ref="P41:P43" ca="1" si="36">IF(M41&gt;0,N41*100/M41,0)</f>
        <v>89.163089675960819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353800</v>
      </c>
      <c r="M43" s="78">
        <f t="shared" ca="1" si="38"/>
        <v>265400</v>
      </c>
      <c r="N43" s="78">
        <f t="shared" ca="1" si="38"/>
        <v>236638.84</v>
      </c>
      <c r="O43" s="77">
        <f t="shared" ca="1" si="35"/>
        <v>66.884918032786885</v>
      </c>
      <c r="P43" s="77">
        <f t="shared" ca="1" si="36"/>
        <v>89.163089675960819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353800</v>
      </c>
      <c r="M45" s="49">
        <f ca="1">IFERROR(__xludf.DUMMYFUNCTION("IMPORTRANGE(""https://docs.google.com/spreadsheets/d/1Yj_ptqi66GCucihVvJfMjLAmec39IyEx_6qawtMGysU/edit?usp=sharing"",""สบก!Q70"")"),265400)</f>
        <v>265400</v>
      </c>
      <c r="N45" s="49">
        <f ca="1">IFERROR(__xludf.DUMMYFUNCTION("IMPORTRANGE(""https://docs.google.com/spreadsheets/d/1Yj_ptqi66GCucihVvJfMjLAmec39IyEx_6qawtMGysU/edit?usp=sharing"",""สบก!R70"")"),236638.84)</f>
        <v>236638.84</v>
      </c>
      <c r="O45" s="38">
        <f ca="1">IF(L45&gt;0,N45*100/L45,0)</f>
        <v>66.884918032786885</v>
      </c>
      <c r="P45" s="38">
        <f ca="1">IF(M45&gt;0,N45*100/M45,0)</f>
        <v>89.163089675960819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IFERROR(__xludf.DUMMYFUNCTION("IMPORTRANGE(""https://docs.google.com/spreadsheets/d/1Yj_ptqi66GCucihVvJfMjLAmec39IyEx_6qawtMGysU/edit?usp=sharing"",""สบก!M70"")"),353800)</f>
        <v>353800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310000</v>
      </c>
      <c r="M53" s="121">
        <f t="shared" ca="1" si="39"/>
        <v>247259.28</v>
      </c>
      <c r="N53" s="121">
        <f t="shared" ca="1" si="39"/>
        <v>229909</v>
      </c>
      <c r="O53" s="120">
        <f t="shared" ref="O53:O55" ca="1" si="40">IF(L53&gt;0,N53*100/L53,0)</f>
        <v>74.164193548387104</v>
      </c>
      <c r="P53" s="120">
        <f t="shared" ref="P53:P55" ca="1" si="41">IF(M53&gt;0,N53*100/M53,0)</f>
        <v>92.982961043969709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310000</v>
      </c>
      <c r="M55" s="121">
        <f t="shared" ca="1" si="43"/>
        <v>247259.28</v>
      </c>
      <c r="N55" s="121">
        <f t="shared" ca="1" si="43"/>
        <v>229909</v>
      </c>
      <c r="O55" s="120">
        <f t="shared" ca="1" si="40"/>
        <v>74.164193548387104</v>
      </c>
      <c r="P55" s="120">
        <f t="shared" ca="1" si="41"/>
        <v>92.982961043969709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310000</v>
      </c>
      <c r="M57" s="49">
        <f ca="1">IFERROR(__xludf.DUMMYFUNCTION("IMPORTRANGE(""https://docs.google.com/spreadsheets/d/1Yj_ptqi66GCucihVvJfMjLAmec39IyEx_6qawtMGysU/edit?usp=sharing"",""สบก!Z70"")"),247259.28)</f>
        <v>247259.28</v>
      </c>
      <c r="N57" s="49">
        <f ca="1">IFERROR(__xludf.DUMMYFUNCTION("IMPORTRANGE(""https://docs.google.com/spreadsheets/d/1Yj_ptqi66GCucihVvJfMjLAmec39IyEx_6qawtMGysU/edit?usp=sharing"",""สบก!AA70"")"),229909)</f>
        <v>229909</v>
      </c>
      <c r="O57" s="38">
        <f ca="1">IF(L57&gt;0,N57*100/L57,0)</f>
        <v>74.164193548387104</v>
      </c>
      <c r="P57" s="38">
        <f ca="1">IF(M57&gt;0,N57*100/M57,0)</f>
        <v>92.982961043969709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IFERROR(__xludf.DUMMYFUNCTION("IMPORTRANGE(""https://docs.google.com/spreadsheets/d/1Yj_ptqi66GCucihVvJfMjLAmec39IyEx_6qawtMGysU/edit?usp=sharing"",""สบก!V70"")"),310000)</f>
        <v>310000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557200</v>
      </c>
      <c r="M66" s="152">
        <f t="shared" ca="1" si="45"/>
        <v>478520</v>
      </c>
      <c r="N66" s="152">
        <f t="shared" ca="1" si="45"/>
        <v>378175.66</v>
      </c>
      <c r="O66" s="151">
        <f t="shared" ref="O66:O68" ca="1" si="46">IF(L66&gt;0,N66*100/L66,0)</f>
        <v>67.870721464465177</v>
      </c>
      <c r="P66" s="151">
        <f t="shared" ref="P66:P68" ca="1" si="47">IF(M66&gt;0,N66*100/M66,0)</f>
        <v>79.030272506896267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557200</v>
      </c>
      <c r="M68" s="157">
        <f t="shared" ca="1" si="49"/>
        <v>478520</v>
      </c>
      <c r="N68" s="157">
        <f t="shared" ca="1" si="49"/>
        <v>378175.66</v>
      </c>
      <c r="O68" s="156">
        <f t="shared" ca="1" si="46"/>
        <v>67.870721464465177</v>
      </c>
      <c r="P68" s="156">
        <f t="shared" ca="1" si="47"/>
        <v>79.030272506896267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557200</v>
      </c>
      <c r="M70" s="168">
        <f ca="1">IFERROR(__xludf.DUMMYFUNCTION("IMPORTRANGE(""https://docs.google.com/spreadsheets/d/1Yj_ptqi66GCucihVvJfMjLAmec39IyEx_6qawtMGysU/edit?usp=sharing"",""สบก!AI70"")"),478520)</f>
        <v>478520</v>
      </c>
      <c r="N70" s="169">
        <f ca="1">IFERROR(__xludf.DUMMYFUNCTION("IMPORTRANGE(""https://docs.google.com/spreadsheets/d/1Yj_ptqi66GCucihVvJfMjLAmec39IyEx_6qawtMGysU/edit?usp=sharing"",""สบก!AJ70"")"),378175.66)</f>
        <v>378175.66</v>
      </c>
      <c r="O70" s="169">
        <f ca="1">IF(L70&gt;0,N70*100/L70,0)</f>
        <v>67.870721464465177</v>
      </c>
      <c r="P70" s="169">
        <f ca="1">IF(M70&gt;0,N70*100/M70,0)</f>
        <v>79.030272506896267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IFERROR(__xludf.DUMMYFUNCTION("IMPORTRANGE(""https://docs.google.com/spreadsheets/d/1Yj_ptqi66GCucihVvJfMjLAmec39IyEx_6qawtMGysU/edit?usp=sharing"",""สบก!AE70"")"),185200)</f>
        <v>185200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IFERROR(__xludf.DUMMYFUNCTION("IMPORTRANGE(""https://docs.google.com/spreadsheets/d/1Yj_ptqi66GCucihVvJfMjLAmec39IyEx_6qawtMGysU/edit?usp=sharing"",""สบก!AF70"")"),372000)</f>
        <v>372000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1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1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4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4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8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8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4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4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IFERROR(__xludf.DUMMYFUNCTION("IMPORTRANGE(""https://docs.google.com/spreadsheets/d/1SX6NBoVAgQJ6U1MVXOaj8PK2l7WJ3RER9xtqwdhxkhw/edit?usp=sharing"",""พระนครศรีอยุธยา!I28"")"),1)</f>
        <v>1</v>
      </c>
      <c r="J88" s="204">
        <f ca="1">IFERROR(__xludf.DUMMYFUNCTION("IMPORTRANGE(""https://docs.google.com/spreadsheets/d/1SX6NBoVAgQJ6U1MVXOaj8PK2l7WJ3RER9xtqwdhxkhw/edit?usp=sharing"",""พระนครศรีอยุธยา!J28"")"),0)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IFERROR(__xludf.DUMMYFUNCTION("IMPORTRANGE(""https://docs.google.com/spreadsheets/d/1Yj_ptqi66GCucihVvJfMjLAmec39IyEx_6qawtMGysU/edit?usp=sharing"",""สบก!AR70"")"),0)</f>
        <v>0</v>
      </c>
      <c r="N98" s="169">
        <f ca="1">IFERROR(__xludf.DUMMYFUNCTION("IMPORTRANGE(""https://docs.google.com/spreadsheets/d/1Yj_ptqi66GCucihVvJfMjLAmec39IyEx_6qawtMGysU/edit?usp=sharing"",""สบก!AS70"")"),0)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4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4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4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4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4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4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IFERROR(__xludf.DUMMYFUNCTION("IMPORTRANGE(""https://docs.google.com/spreadsheets/d/1Yj_ptqi66GCucihVvJfMjLAmec39IyEx_6qawtMGysU/edit?usp=sharing"",""สบก!BA70"")"),0)</f>
        <v>0</v>
      </c>
      <c r="N122" s="169">
        <f ca="1">IFERROR(__xludf.DUMMYFUNCTION("IMPORTRANGE(""https://docs.google.com/spreadsheets/d/1Yj_ptqi66GCucihVvJfMjLAmec39IyEx_6qawtMGysU/edit?usp=sharing"",""สบก!BB70"")"),0)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IFERROR(__xludf.DUMMYFUNCTION("IMPORTRANGE(""https://docs.google.com/spreadsheets/d/1Yj_ptqi66GCucihVvJfMjLAmec39IyEx_6qawtMGysU/edit?usp=sharing"",""สบก!AX70"")"),0)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4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4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8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670200</v>
      </c>
      <c r="M140" s="152">
        <f t="shared" ca="1" si="64"/>
        <v>821850</v>
      </c>
      <c r="N140" s="152">
        <f t="shared" ca="1" si="64"/>
        <v>427248.06</v>
      </c>
      <c r="O140" s="151">
        <f t="shared" ref="O140:O142" ca="1" si="65">IF(L140&gt;0,N140*100/L140,0)</f>
        <v>63.749337511190689</v>
      </c>
      <c r="P140" s="151">
        <f t="shared" ref="P140:P142" ca="1" si="66">IF(M140&gt;0,N140*100/M140,0)</f>
        <v>51.986136156232888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670200</v>
      </c>
      <c r="M142" s="157">
        <f t="shared" ca="1" si="68"/>
        <v>821850</v>
      </c>
      <c r="N142" s="157">
        <f t="shared" ca="1" si="68"/>
        <v>427248.06</v>
      </c>
      <c r="O142" s="156">
        <f t="shared" ca="1" si="65"/>
        <v>63.749337511190689</v>
      </c>
      <c r="P142" s="156">
        <f t="shared" ca="1" si="66"/>
        <v>51.986136156232888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670200</v>
      </c>
      <c r="M144" s="168">
        <f ca="1">IFERROR(__xludf.DUMMYFUNCTION("IMPORTRANGE(""https://docs.google.com/spreadsheets/d/1Yj_ptqi66GCucihVvJfMjLAmec39IyEx_6qawtMGysU/edit?usp=sharing"",""สบก!BJ70"")"),821850)</f>
        <v>821850</v>
      </c>
      <c r="N144" s="169">
        <f ca="1">IFERROR(__xludf.DUMMYFUNCTION("IMPORTRANGE(""https://docs.google.com/spreadsheets/d/1Yj_ptqi66GCucihVvJfMjLAmec39IyEx_6qawtMGysU/edit?usp=sharing"",""สบก!BK70"")"),427248.06)</f>
        <v>427248.06</v>
      </c>
      <c r="O144" s="169">
        <f ca="1">IF(L144&gt;0,N144*100/L144,0)</f>
        <v>63.749337511190689</v>
      </c>
      <c r="P144" s="169">
        <f ca="1">IF(M144&gt;0,N144*100/M144,0)</f>
        <v>51.986136156232888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IFERROR(__xludf.DUMMYFUNCTION("IMPORTRANGE(""https://docs.google.com/spreadsheets/d/1Yj_ptqi66GCucihVvJfMjLAmec39IyEx_6qawtMGysU/edit?usp=sharing"",""สบก!BF70"")"),396000)</f>
        <v>396000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IFERROR(__xludf.DUMMYFUNCTION("IMPORTRANGE(""https://docs.google.com/spreadsheets/d/1Yj_ptqi66GCucihVvJfMjLAmec39IyEx_6qawtMGysU/edit?usp=sharing"",""สบก!BG70"")"),274200)</f>
        <v>274200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6">
        <f ca="1">IFERROR(__xludf.DUMMYFUNCTION("IMPORTRANGE(""https://docs.google.com/spreadsheets/d/1SX6NBoVAgQJ6U1MVXOaj8PK2l7WJ3RER9xtqwdhxkhw/edit?usp=sharing"",""พระนครศรีอยุธยา!J74"")"),2)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IFERROR(__xludf.DUMMYFUNCTION("IMPORTRANGE(""https://docs.google.com/spreadsheets/d/1SX6NBoVAgQJ6U1MVXOaj8PK2l7WJ3RER9xtqwdhxkhw/edit?usp=sharing"",""พระนครศรีอยุธยา!J82"")"),1)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89">
        <f ca="1">IFERROR(__xludf.DUMMYFUNCTION("IMPORTRANGE(""https://docs.google.com/spreadsheets/d/1SX6NBoVAgQJ6U1MVXOaj8PK2l7WJ3RER9xtqwdhxkhw/edit?usp=sharing"",""พระนครศรีอยุธยา!J83"")"),2)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IFERROR(__xludf.DUMMYFUNCTION("IMPORTRANGE(""https://docs.google.com/spreadsheets/d/1SX6NBoVAgQJ6U1MVXOaj8PK2l7WJ3RER9xtqwdhxkhw/edit?usp=sharing"",""พระนครศรีอยุธยา!J84"")"),22)</f>
        <v>22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IFERROR(__xludf.DUMMYFUNCTION("IMPORTRANGE(""https://docs.google.com/spreadsheets/d/1SX6NBoVAgQJ6U1MVXOaj8PK2l7WJ3RER9xtqwdhxkhw/edit?usp=sharing"",""พระนครศรีอยุธยา!J85"")"),22)</f>
        <v>22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5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IFERROR(__xludf.DUMMYFUNCTION("IMPORTRANGE(""https://docs.google.com/spreadsheets/d/1SX6NBoVAgQJ6U1MVXOaj8PK2l7WJ3RER9xtqwdhxkhw/edit?usp=sharing"",""พระนครศรีอยุธยา!J97"")"),1)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89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5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4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4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5">
        <f ca="1">IFERROR(__xludf.DUMMYFUNCTION("IMPORTRANGE(""https://docs.google.com/spreadsheets/d/1SX6NBoVAgQJ6U1MVXOaj8PK2l7WJ3RER9xtqwdhxkhw/edit?usp=sharing"",""พระนครศรีอยุธยา!J114"")"),0)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89">
        <f ca="1">IFERROR(__xludf.DUMMYFUNCTION("IMPORTRANGE(""https://docs.google.com/spreadsheets/d/1SX6NBoVAgQJ6U1MVXOaj8PK2l7WJ3RER9xtqwdhxkhw/edit?usp=sharing"",""พระนครศรีอยุธยา!J124"")"),0)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89">
        <f ca="1">IFERROR(__xludf.DUMMYFUNCTION("IMPORTRANGE(""https://docs.google.com/spreadsheets/d/1SX6NBoVAgQJ6U1MVXOaj8PK2l7WJ3RER9xtqwdhxkhw/edit?usp=sharing"",""พระนครศรีอยุธยา!J125"")"),0)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8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IFERROR(__xludf.DUMMYFUNCTION("IMPORTRANGE(""https://docs.google.com/spreadsheets/d/1SX6NBoVAgQJ6U1MVXOaj8PK2l7WJ3RER9xtqwdhxkhw/edit?usp=sharing"",""พระนครศรีอยุธยา!J128"")"),0)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5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4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4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4">
        <f ca="1">IFERROR(__xludf.DUMMYFUNCTION("IMPORTRANGE(""https://docs.google.com/spreadsheets/d/1SX6NBoVAgQJ6U1MVXOaj8PK2l7WJ3RER9xtqwdhxkhw/edit?usp=sharing"",""พระนครศรีอยุธยา!J141"")"),0)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8">
        <f ca="1">IFERROR(__xludf.DUMMYFUNCTION("IMPORTRANGE(""https://docs.google.com/spreadsheets/d/1SX6NBoVAgQJ6U1MVXOaj8PK2l7WJ3RER9xtqwdhxkhw/edit?usp=sharing"",""พระนครศรีอยุธยา!J144"")"),15)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20697.599999999999</v>
      </c>
      <c r="O220" s="151">
        <f t="shared" ref="O220:O222" ca="1" si="73">IF(L220&gt;0,N220*100/L220,0)</f>
        <v>97.976804733727803</v>
      </c>
      <c r="P220" s="151">
        <f t="shared" ref="P220:P222" ca="1" si="74">IF(M220&gt;0,N220*100/M220,0)</f>
        <v>97.976804733727803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20697.599999999999</v>
      </c>
      <c r="O222" s="156">
        <f t="shared" ca="1" si="73"/>
        <v>97.976804733727803</v>
      </c>
      <c r="P222" s="156">
        <f t="shared" ca="1" si="74"/>
        <v>97.976804733727803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IFERROR(__xludf.DUMMYFUNCTION("IMPORTRANGE(""https://docs.google.com/spreadsheets/d/1Yj_ptqi66GCucihVvJfMjLAmec39IyEx_6qawtMGysU/edit?usp=sharing"",""สบก!BS70"")"),21125)</f>
        <v>21125</v>
      </c>
      <c r="N224" s="169">
        <f ca="1">IFERROR(__xludf.DUMMYFUNCTION("IMPORTRANGE(""https://docs.google.com/spreadsheets/d/1Yj_ptqi66GCucihVvJfMjLAmec39IyEx_6qawtMGysU/edit?usp=sharing"",""สบก!BT70"")"),20697.6)</f>
        <v>20697.599999999999</v>
      </c>
      <c r="O224" s="169">
        <f ca="1">IF(L224&gt;0,N224*100/L224,0)</f>
        <v>97.976804733727803</v>
      </c>
      <c r="P224" s="169">
        <f ca="1">IF(M224&gt;0,N224*100/M224,0)</f>
        <v>97.976804733727803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IFERROR(__xludf.DUMMYFUNCTION("IMPORTRANGE(""https://docs.google.com/spreadsheets/d/1Yj_ptqi66GCucihVvJfMjLAmec39IyEx_6qawtMGysU/edit?usp=sharing"",""สบก!BP70"")"),21125)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8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89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IFERROR(__xludf.DUMMYFUNCTION("IMPORTRANGE(""https://docs.google.com/spreadsheets/d/1SX6NBoVAgQJ6U1MVXOaj8PK2l7WJ3RER9xtqwdhxkhw/edit?usp=sharing"",""พระนครศรีอยุธยา!J157"")"),0)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8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7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IFERROR(__xludf.DUMMYFUNCTION("IMPORTRANGE(""https://docs.google.com/spreadsheets/d/1Yj_ptqi66GCucihVvJfMjLAmec39IyEx_6qawtMGysU/edit?usp=sharing"",""สบก!CB70"")"),0)</f>
        <v>0</v>
      </c>
      <c r="N254" s="169">
        <f ca="1">IFERROR(__xludf.DUMMYFUNCTION("IMPORTRANGE(""https://docs.google.com/spreadsheets/d/1Yj_ptqi66GCucihVvJfMjLAmec39IyEx_6qawtMGysU/edit?usp=sharing"",""สบก!CC70"")"),0)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IFERROR(__xludf.DUMMYFUNCTION("IMPORTRANGE(""https://docs.google.com/spreadsheets/d/1Yj_ptqi66GCucihVvJfMjLAmec39IyEx_6qawtMGysU/edit?usp=sharing"",""สบก!BY70"")"),0)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8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8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8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8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7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IFERROR(__xludf.DUMMYFUNCTION("IMPORTRANGE(""https://docs.google.com/spreadsheets/d/1Yj_ptqi66GCucihVvJfMjLAmec39IyEx_6qawtMGysU/edit?usp=sharing"",""สบก!CK70"")"),0)</f>
        <v>0</v>
      </c>
      <c r="N275" s="169">
        <f ca="1">IFERROR(__xludf.DUMMYFUNCTION("IMPORTRANGE(""https://docs.google.com/spreadsheets/d/1Yj_ptqi66GCucihVvJfMjLAmec39IyEx_6qawtMGysU/edit?usp=sharing"",""สบก!CL70"")"),0)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IFERROR(__xludf.DUMMYFUNCTION("IMPORTRANGE(""https://docs.google.com/spreadsheets/d/1Yj_ptqi66GCucihVvJfMjLAmec39IyEx_6qawtMGysU/edit?usp=sharing"",""สบก!CG70"")"),0)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IFERROR(__xludf.DUMMYFUNCTION("IMPORTRANGE(""https://docs.google.com/spreadsheets/d/1Yj_ptqi66GCucihVvJfMjLAmec39IyEx_6qawtMGysU/edit?usp=sharing"",""สบก!CH70"")"),0)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8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7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IFERROR(__xludf.DUMMYFUNCTION("IMPORTRANGE(""https://docs.google.com/spreadsheets/d/1Yj_ptqi66GCucihVvJfMjLAmec39IyEx_6qawtMGysU/edit?usp=sharing"",""สบก!CT70"")"),0)</f>
        <v>0</v>
      </c>
      <c r="N294" s="169">
        <f ca="1">IFERROR(__xludf.DUMMYFUNCTION("IMPORTRANGE(""https://docs.google.com/spreadsheets/d/1Yj_ptqi66GCucihVvJfMjLAmec39IyEx_6qawtMGysU/edit?usp=sharing"",""สบก!CU70"")"),0)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4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4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4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IFERROR(__xludf.DUMMYFUNCTION("IMPORTRANGE(""https://docs.google.com/spreadsheets/d/1Yj_ptqi66GCucihVvJfMjLAmec39IyEx_6qawtMGysU/edit?usp=sharing"",""สบก!DC70"")"),0)</f>
        <v>0</v>
      </c>
      <c r="N314" s="169">
        <f ca="1">IFERROR(__xludf.DUMMYFUNCTION("IMPORTRANGE(""https://docs.google.com/spreadsheets/d/1Yj_ptqi66GCucihVvJfMjLAmec39IyEx_6qawtMGysU/edit?usp=sharing"",""สบก!DD70"")"),0)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4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40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539310</v>
      </c>
      <c r="M329" s="152">
        <f t="shared" ca="1" si="98"/>
        <v>431815</v>
      </c>
      <c r="N329" s="152">
        <f t="shared" ca="1" si="98"/>
        <v>352338.15</v>
      </c>
      <c r="O329" s="151">
        <f t="shared" ref="O329:O331" ca="1" si="99">IF(L329&gt;0,N329*100/L329,0)</f>
        <v>65.331284418979806</v>
      </c>
      <c r="P329" s="151">
        <f t="shared" ref="P329:P331" ca="1" si="100">IF(M329&gt;0,N329*100/M329,0)</f>
        <v>81.594699118835607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539310</v>
      </c>
      <c r="M331" s="157">
        <f t="shared" ca="1" si="102"/>
        <v>431815</v>
      </c>
      <c r="N331" s="157">
        <f t="shared" ca="1" si="102"/>
        <v>352338.15</v>
      </c>
      <c r="O331" s="156">
        <f t="shared" ca="1" si="99"/>
        <v>65.331284418979806</v>
      </c>
      <c r="P331" s="156">
        <f t="shared" ca="1" si="100"/>
        <v>81.594699118835607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IFERROR(__xludf.DUMMYFUNCTION("IMPORTRANGE(""https://docs.google.com/spreadsheets/d/1Yj_ptqi66GCucihVvJfMjLAmec39IyEx_6qawtMGysU/edit?usp=sharing"",""สบก!DL70"")"),378615)</f>
        <v>378615</v>
      </c>
      <c r="N333" s="169">
        <f ca="1">IFERROR(__xludf.DUMMYFUNCTION("IMPORTRANGE(""https://docs.google.com/spreadsheets/d/1Yj_ptqi66GCucihVvJfMjLAmec39IyEx_6qawtMGysU/edit?usp=sharing"",""สบก!DM70"")"),299138.15)</f>
        <v>299138.15000000002</v>
      </c>
      <c r="O333" s="169">
        <f ca="1">IF(L333&gt;0,N333*100/L333,0)</f>
        <v>61.53713151344347</v>
      </c>
      <c r="P333" s="169">
        <f ca="1">IF(M333&gt;0,N333*100/M333,0)</f>
        <v>79.008531093591131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IFERROR(__xludf.DUMMYFUNCTION("IMPORTRANGE(""https://docs.google.com/spreadsheets/d/1Yj_ptqi66GCucihVvJfMjLAmec39IyEx_6qawtMGysU/edit?usp=sharing"",""สบก!DH70"")"),306000)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IFERROR(__xludf.DUMMYFUNCTION("IMPORTRANGE(""https://docs.google.com/spreadsheets/d/1Yj_ptqi66GCucihVvJfMjLAmec39IyEx_6qawtMGysU/edit?usp=sharing"",""สบก!DI70"")"),180110)</f>
        <v>180110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IFERROR(__xludf.DUMMYFUNCTION("IMPORTRANGE(""https://docs.google.com/spreadsheets/d/1SX6NBoVAgQJ6U1MVXOaj8PK2l7WJ3RER9xtqwdhxkhw/edit?usp=sharing"",""พระนครศรีอยุธยา!L242"")"),635947)</f>
        <v>635947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IFERROR(__xludf.DUMMYFUNCTION("IMPORTRANGE(""https://docs.google.com/spreadsheets/d/1SX6NBoVAgQJ6U1MVXOaj8PK2l7WJ3RER9xtqwdhxkhw/edit?usp=sharing"",""พระนครศรีอยุธยา!M242"")"),335256.8)</f>
        <v>335256.8</v>
      </c>
      <c r="O347" s="358">
        <f ca="1">+IF(L347&gt;0,N347*100/L347,0)</f>
        <v>52.717726477206433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4"/>
      <c r="N351" s="164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5"/>
      <c r="N352" s="164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69"/>
      <c r="N353" s="169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69"/>
      <c r="N354" s="16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4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8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8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4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4"/>
      <c r="N382" s="164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5"/>
      <c r="N383" s="165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69"/>
      <c r="N384" s="169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69"/>
      <c r="N385" s="16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8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8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8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IFERROR(__xludf.DUMMYFUNCTION("IMPORTRANGE(""https://docs.google.com/spreadsheets/d/1SX6NBoVAgQJ6U1MVXOaj8PK2l7WJ3RER9xtqwdhxkhw/edit?usp=sharing"",""พระนครศรีอยุธยา!M296"")"),143942.6)</f>
        <v>143942.6</v>
      </c>
      <c r="O401" s="373">
        <f ca="1">+IF(L401&gt;0,N401*100/L401,0)</f>
        <v>62.564697700699789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4"/>
      <c r="N403" s="169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5"/>
      <c r="N404" s="169">
        <f ca="1">IFERROR(__xludf.DUMMYFUNCTION("IMPORTRANGE(""https://docs.google.com/spreadsheets/d/1SX6NBoVAgQJ6U1MVXOaj8PK2l7WJ3RER9xtqwdhxkhw/edit?usp=sharing"",""พระนครศรีอยุธยา!M299"")"),143942.6)</f>
        <v>143942.6</v>
      </c>
      <c r="O404" s="169">
        <f t="shared" ca="1" si="112"/>
        <v>62.564697700699789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69"/>
      <c r="N405" s="169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69"/>
      <c r="N406" s="169">
        <f ca="1">IFERROR(__xludf.DUMMYFUNCTION("IMPORTRANGE(""https://docs.google.com/spreadsheets/d/1SX6NBoVAgQJ6U1MVXOaj8PK2l7WJ3RER9xtqwdhxkhw/edit?usp=sharing"",""พระนครศรีอยุธยา!M301"")"),143942.6)</f>
        <v>143942.6</v>
      </c>
      <c r="O406" s="169">
        <f t="shared" ca="1" si="112"/>
        <v>62.564697700699789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IFERROR(__xludf.DUMMYFUNCTION("IMPORTRANGE(""https://docs.google.com/spreadsheets/d/1SX6NBoVAgQJ6U1MVXOaj8PK2l7WJ3RER9xtqwdhxkhw/edit?usp=sharing"",""พระนครศรีอยุธยา!M302"")"),122057.6)</f>
        <v>122057.60000000001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IFERROR(__xludf.DUMMYFUNCTION("IMPORTRANGE(""https://docs.google.com/spreadsheets/d/1SX6NBoVAgQJ6U1MVXOaj8PK2l7WJ3RER9xtqwdhxkhw/edit?usp=sharing"",""พระนครศรีอยุธยา!M305"")"),21885)</f>
        <v>21885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IFERROR(__xludf.DUMMYFUNCTION("IMPORTRANGE(""https://docs.google.com/spreadsheets/d/1SX6NBoVAgQJ6U1MVXOaj8PK2l7WJ3RER9xtqwdhxkhw/edit?usp=sharing"",""พระนครศรีอยุธยา!J310"")"),1)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1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IFERROR(__xludf.DUMMYFUNCTION("IMPORTRANGE(""https://docs.google.com/spreadsheets/d/1SX6NBoVAgQJ6U1MVXOaj8PK2l7WJ3RER9xtqwdhxkhw/edit?usp=sharing"",""พระนครศรีอยุธยา!M330"")"),75890.22)</f>
        <v>75890.22</v>
      </c>
      <c r="O435" s="412">
        <f t="shared" ref="O435:O439" ca="1" si="114">+IF(L435&gt;0,N435*100/L435,0)</f>
        <v>64.313745762711861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4"/>
      <c r="N436" s="169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5"/>
      <c r="N437" s="169">
        <f ca="1">IFERROR(__xludf.DUMMYFUNCTION("IMPORTRANGE(""https://docs.google.com/spreadsheets/d/1SX6NBoVAgQJ6U1MVXOaj8PK2l7WJ3RER9xtqwdhxkhw/edit?usp=sharing"",""พระนครศรีอยุธยา!M332"")"),75890.22)</f>
        <v>75890.22</v>
      </c>
      <c r="O437" s="169">
        <f t="shared" ca="1" si="114"/>
        <v>64.313745762711861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69"/>
      <c r="N438" s="169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69"/>
      <c r="N439" s="169">
        <f ca="1">IFERROR(__xludf.DUMMYFUNCTION("IMPORTRANGE(""https://docs.google.com/spreadsheets/d/1SX6NBoVAgQJ6U1MVXOaj8PK2l7WJ3RER9xtqwdhxkhw/edit?usp=sharing"",""พระนครศรีอยุธยา!M334"")"),75890.22)</f>
        <v>75890.22</v>
      </c>
      <c r="O439" s="169">
        <f t="shared" ca="1" si="114"/>
        <v>64.313745762711861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IFERROR(__xludf.DUMMYFUNCTION("IMPORTRANGE(""https://docs.google.com/spreadsheets/d/1SX6NBoVAgQJ6U1MVXOaj8PK2l7WJ3RER9xtqwdhxkhw/edit?usp=sharing"",""พระนครศรีอยุธยา!M335"")"),44200)</f>
        <v>44200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IFERROR(__xludf.DUMMYFUNCTION("IMPORTRANGE(""https://docs.google.com/spreadsheets/d/1SX6NBoVAgQJ6U1MVXOaj8PK2l7WJ3RER9xtqwdhxkhw/edit?usp=sharing"",""พระนครศรีอยุธยา!M338"")"),31690.22)</f>
        <v>31690.22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IFERROR(__xludf.DUMMYFUNCTION("IMPORTRANGE(""https://docs.google.com/spreadsheets/d/1SX6NBoVAgQJ6U1MVXOaj8PK2l7WJ3RER9xtqwdhxkhw/edit?usp=sharing"",""พระนครศรีอยุธยา!J343"")"),1)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1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89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IFERROR(__xludf.DUMMYFUNCTION("IMPORTRANGE(""https://docs.google.com/spreadsheets/d/1SX6NBoVAgQJ6U1MVXOaj8PK2l7WJ3RER9xtqwdhxkhw/edit?usp=sharing"",""พระนครศรีอยุธยา!L350"")"),120557)</f>
        <v>120557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IFERROR(__xludf.DUMMYFUNCTION("IMPORTRANGE(""https://docs.google.com/spreadsheets/d/1SX6NBoVAgQJ6U1MVXOaj8PK2l7WJ3RER9xtqwdhxkhw/edit?usp=sharing"",""พระนครศรีอยุธยา!M350"")"),22365)</f>
        <v>22365</v>
      </c>
      <c r="O455" s="373">
        <f t="shared" ref="O455:O459" ca="1" si="116">+IF(L455&gt;0,N455*100/L455,0)</f>
        <v>18.551390628499384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4"/>
      <c r="N456" s="169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IFERROR(__xludf.DUMMYFUNCTION("IMPORTRANGE(""https://docs.google.com/spreadsheets/d/1SX6NBoVAgQJ6U1MVXOaj8PK2l7WJ3RER9xtqwdhxkhw/edit?usp=sharing"",""พระนครศรีอยุธยา!L352"")"),120557)</f>
        <v>120557</v>
      </c>
      <c r="M457" s="165"/>
      <c r="N457" s="169">
        <f ca="1">IFERROR(__xludf.DUMMYFUNCTION("IMPORTRANGE(""https://docs.google.com/spreadsheets/d/1SX6NBoVAgQJ6U1MVXOaj8PK2l7WJ3RER9xtqwdhxkhw/edit?usp=sharing"",""พระนครศรีอยุธยา!M352"")"),22365)</f>
        <v>22365</v>
      </c>
      <c r="O457" s="169">
        <f t="shared" ca="1" si="116"/>
        <v>18.551390628499384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69"/>
      <c r="N458" s="169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IFERROR(__xludf.DUMMYFUNCTION("IMPORTRANGE(""https://docs.google.com/spreadsheets/d/1SX6NBoVAgQJ6U1MVXOaj8PK2l7WJ3RER9xtqwdhxkhw/edit?usp=sharing"",""พระนครศรีอยุธยา!L354"")"),120557)</f>
        <v>120557</v>
      </c>
      <c r="M459" s="169"/>
      <c r="N459" s="169">
        <f ca="1">IFERROR(__xludf.DUMMYFUNCTION("IMPORTRANGE(""https://docs.google.com/spreadsheets/d/1SX6NBoVAgQJ6U1MVXOaj8PK2l7WJ3RER9xtqwdhxkhw/edit?usp=sharing"",""พระนครศรีอยุธยา!M354"")"),22365)</f>
        <v>22365</v>
      </c>
      <c r="O459" s="169">
        <f t="shared" ca="1" si="116"/>
        <v>18.551390628499384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IFERROR(__xludf.DUMMYFUNCTION("IMPORTRANGE(""https://docs.google.com/spreadsheets/d/1SX6NBoVAgQJ6U1MVXOaj8PK2l7WJ3RER9xtqwdhxkhw/edit?usp=sharing"",""พระนครศรีอยุธยา!M358"")"),22365)</f>
        <v>22365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8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IFERROR(__xludf.DUMMYFUNCTION("IMPORTRANGE(""https://docs.google.com/spreadsheets/d/1SX6NBoVAgQJ6U1MVXOaj8PK2l7WJ3RER9xtqwdhxkhw/edit?usp=sharing"",""พระนครศรีอยุธยา!J360"")"),2426.62)</f>
        <v>2426.62</v>
      </c>
      <c r="K465" s="202">
        <f t="shared" ca="1" si="117"/>
        <v>109.4551195308976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IFERROR(__xludf.DUMMYFUNCTION("IMPORTRANGE(""https://docs.google.com/spreadsheets/d/1SX6NBoVAgQJ6U1MVXOaj8PK2l7WJ3RER9xtqwdhxkhw/edit?usp=sharing"",""พระนครศรีอยุธยา!J361"")"),258)</f>
        <v>258</v>
      </c>
      <c r="K466" s="202">
        <f t="shared" ca="1" si="117"/>
        <v>113.65638766519824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89">
        <f ca="1">IFERROR(__xludf.DUMMYFUNCTION("IMPORTRANGE(""https://docs.google.com/spreadsheets/d/1SX6NBoVAgQJ6U1MVXOaj8PK2l7WJ3RER9xtqwdhxkhw/edit?usp=sharing"",""พระนครศรีอยุธยา!J362"")"),2019.42)</f>
        <v>2019.42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89">
        <f ca="1">IFERROR(__xludf.DUMMYFUNCTION("IMPORTRANGE(""https://docs.google.com/spreadsheets/d/1SX6NBoVAgQJ6U1MVXOaj8PK2l7WJ3RER9xtqwdhxkhw/edit?usp=sharing"",""พระนครศรีอยุธยา!J363"")"),198)</f>
        <v>198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89">
        <f ca="1">IFERROR(__xludf.DUMMYFUNCTION("IMPORTRANGE(""https://docs.google.com/spreadsheets/d/1SX6NBoVAgQJ6U1MVXOaj8PK2l7WJ3RER9xtqwdhxkhw/edit?usp=sharing"",""พระนครศรีอยุธยา!J364"")"),41.68)</f>
        <v>41.68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89">
        <f ca="1">IFERROR(__xludf.DUMMYFUNCTION("IMPORTRANGE(""https://docs.google.com/spreadsheets/d/1SX6NBoVAgQJ6U1MVXOaj8PK2l7WJ3RER9xtqwdhxkhw/edit?usp=sharing"",""พระนครศรีอยุธยา!J365"")"),11)</f>
        <v>11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89">
        <f ca="1">IFERROR(__xludf.DUMMYFUNCTION("IMPORTRANGE(""https://docs.google.com/spreadsheets/d/1SX6NBoVAgQJ6U1MVXOaj8PK2l7WJ3RER9xtqwdhxkhw/edit?usp=sharing"",""พระนครศรีอยุธยา!J366"")"),365.52)</f>
        <v>365.52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89">
        <f ca="1">IFERROR(__xludf.DUMMYFUNCTION("IMPORTRANGE(""https://docs.google.com/spreadsheets/d/1SX6NBoVAgQJ6U1MVXOaj8PK2l7WJ3RER9xtqwdhxkhw/edit?usp=sharing"",""พระนครศรีอยุธยา!J367"")"),49)</f>
        <v>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IFERROR(__xludf.DUMMYFUNCTION("IMPORTRANGE(""https://docs.google.com/spreadsheets/d/1SX6NBoVAgQJ6U1MVXOaj8PK2l7WJ3RER9xtqwdhxkhw/edit?usp=sharing"",""พระนครศรีอยุธยา!J368"")"),2426.62999999999)</f>
        <v>2426.6299999999901</v>
      </c>
      <c r="K473" s="202">
        <f t="shared" ca="1" si="117"/>
        <v>109.45557059088814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IFERROR(__xludf.DUMMYFUNCTION("IMPORTRANGE(""https://docs.google.com/spreadsheets/d/1SX6NBoVAgQJ6U1MVXOaj8PK2l7WJ3RER9xtqwdhxkhw/edit?usp=sharing"",""พระนครศรีอยุธยา!J369"")"),258)</f>
        <v>258</v>
      </c>
      <c r="K474" s="163">
        <f t="shared" ca="1" si="117"/>
        <v>113.65638766519824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89">
        <f ca="1">IFERROR(__xludf.DUMMYFUNCTION("IMPORTRANGE(""https://docs.google.com/spreadsheets/d/1SX6NBoVAgQJ6U1MVXOaj8PK2l7WJ3RER9xtqwdhxkhw/edit?usp=sharing"",""พระนครศรีอยุธยา!J370"")"),1817.56)</f>
        <v>1817.56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89">
        <f ca="1">IFERROR(__xludf.DUMMYFUNCTION("IMPORTRANGE(""https://docs.google.com/spreadsheets/d/1SX6NBoVAgQJ6U1MVXOaj8PK2l7WJ3RER9xtqwdhxkhw/edit?usp=sharing"",""พระนครศรีอยุธยา!J371"")"),178)</f>
        <v>178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89">
        <f ca="1">IFERROR(__xludf.DUMMYFUNCTION("IMPORTRANGE(""https://docs.google.com/spreadsheets/d/1SX6NBoVAgQJ6U1MVXOaj8PK2l7WJ3RER9xtqwdhxkhw/edit?usp=sharing"",""พระนครศรีอยุธยา!J372"")"),375.51)</f>
        <v>375.51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89">
        <f ca="1">IFERROR(__xludf.DUMMYFUNCTION("IMPORTRANGE(""https://docs.google.com/spreadsheets/d/1SX6NBoVAgQJ6U1MVXOaj8PK2l7WJ3RER9xtqwdhxkhw/edit?usp=sharing"",""พระนครศรีอยุธยา!J373"")"),52)</f>
        <v>52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89">
        <f ca="1">IFERROR(__xludf.DUMMYFUNCTION("IMPORTRANGE(""https://docs.google.com/spreadsheets/d/1SX6NBoVAgQJ6U1MVXOaj8PK2l7WJ3RER9xtqwdhxkhw/edit?usp=sharing"",""พระนครศรีอยุธยา!J374"")"),233.56)</f>
        <v>233.56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89">
        <f ca="1">IFERROR(__xludf.DUMMYFUNCTION("IMPORTRANGE(""https://docs.google.com/spreadsheets/d/1SX6NBoVAgQJ6U1MVXOaj8PK2l7WJ3RER9xtqwdhxkhw/edit?usp=sharing"",""พระนครศรีอยุธยา!J375"")"),28)</f>
        <v>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89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89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89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89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89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89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89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89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8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2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2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89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8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89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8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8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8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2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2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8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8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8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8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8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8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8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5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5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5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5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8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8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8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8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8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IFERROR(__xludf.DUMMYFUNCTION("IMPORTRANGE(""https://docs.google.com/spreadsheets/d/1SX6NBoVAgQJ6U1MVXOaj8PK2l7WJ3RER9xtqwdhxkhw/edit?usp=sharing"",""พระนครศรีอยุธยา!M428"")"),32862)</f>
        <v>32862</v>
      </c>
      <c r="O533" s="412">
        <f t="shared" ref="O533:O537" ca="1" si="118">+IF(L533&gt;0,N533*100/L533,0)</f>
        <v>95.695981362842161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4"/>
      <c r="N534" s="169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IFERROR(__xludf.DUMMYFUNCTION("IMPORTRANGE(""https://docs.google.com/spreadsheets/d/1SX6NBoVAgQJ6U1MVXOaj8PK2l7WJ3RER9xtqwdhxkhw/edit?usp=sharing"",""พระนครศรีอยุธยา!M430"")"),32862)</f>
        <v>32862</v>
      </c>
      <c r="O535" s="169">
        <f t="shared" ca="1" si="118"/>
        <v>95.695981362842161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69"/>
      <c r="N536" s="169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IFERROR(__xludf.DUMMYFUNCTION("IMPORTRANGE(""https://docs.google.com/spreadsheets/d/1SX6NBoVAgQJ6U1MVXOaj8PK2l7WJ3RER9xtqwdhxkhw/edit?usp=sharing"",""พระนครศรีอยุธยา!M432"")"),32862)</f>
        <v>32862</v>
      </c>
      <c r="O537" s="169">
        <f t="shared" ca="1" si="118"/>
        <v>95.695981362842161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IFERROR(__xludf.DUMMYFUNCTION("IMPORTRANGE(""https://docs.google.com/spreadsheets/d/1SX6NBoVAgQJ6U1MVXOaj8PK2l7WJ3RER9xtqwdhxkhw/edit?usp=sharing"",""พระนครศรีอยุธยา!M433"")"),17112)</f>
        <v>17112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IFERROR(__xludf.DUMMYFUNCTION("IMPORTRANGE(""https://docs.google.com/spreadsheets/d/1SX6NBoVAgQJ6U1MVXOaj8PK2l7WJ3RER9xtqwdhxkhw/edit?usp=sharing"",""พระนครศรีอยุธยา!M436"")"),15750)</f>
        <v>15750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8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4"/>
      <c r="N552" s="169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5"/>
      <c r="N553" s="169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69"/>
      <c r="N554" s="169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69"/>
      <c r="N555" s="169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2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4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IFERROR(__xludf.DUMMYFUNCTION("IMPORTRANGE(""https://docs.google.com/spreadsheets/d/1SX6NBoVAgQJ6U1MVXOaj8PK2l7WJ3RER9xtqwdhxkhw/edit?usp=sharing"",""พระนครศรีอยุธยา!J459"")"),892)</f>
        <v>892</v>
      </c>
      <c r="K564" s="372">
        <f ca="1">IF(I564&gt;0,J564*100/I564,0)</f>
        <v>594.66666666666663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IFERROR(__xludf.DUMMYFUNCTION("IMPORTRANGE(""https://docs.google.com/spreadsheets/d/1SX6NBoVAgQJ6U1MVXOaj8PK2l7WJ3RER9xtqwdhxkhw/edit?usp=sharing"",""พระนครศรีอยุธยา!M459"")"),59811.78)</f>
        <v>59811.78</v>
      </c>
      <c r="O564" s="373">
        <f t="shared" ref="O564:O568" ca="1" si="122">+IF(L564&gt;0,N564*100/L564,0)</f>
        <v>47.590531508593251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4"/>
      <c r="N565" s="169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IFERROR(__xludf.DUMMYFUNCTION("IMPORTRANGE(""https://docs.google.com/spreadsheets/d/1SX6NBoVAgQJ6U1MVXOaj8PK2l7WJ3RER9xtqwdhxkhw/edit?usp=sharing"",""พระนครศรีอยุธยา!M461"")"),59811.78)</f>
        <v>59811.78</v>
      </c>
      <c r="O566" s="169">
        <f t="shared" ca="1" si="122"/>
        <v>47.590531508593251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69"/>
      <c r="N567" s="169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IFERROR(__xludf.DUMMYFUNCTION("IMPORTRANGE(""https://docs.google.com/spreadsheets/d/1SX6NBoVAgQJ6U1MVXOaj8PK2l7WJ3RER9xtqwdhxkhw/edit?usp=sharing"",""พระนครศรีอยุธยา!M463"")"),59811.78)</f>
        <v>59811.78</v>
      </c>
      <c r="O568" s="169">
        <f t="shared" ca="1" si="122"/>
        <v>47.590531508593251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IFERROR(__xludf.DUMMYFUNCTION("IMPORTRANGE(""https://docs.google.com/spreadsheets/d/1SX6NBoVAgQJ6U1MVXOaj8PK2l7WJ3RER9xtqwdhxkhw/edit?usp=sharing"",""พระนครศรีอยุธยา!M466"")"),42187.78)</f>
        <v>42187.78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IFERROR(__xludf.DUMMYFUNCTION("IMPORTRANGE(""https://docs.google.com/spreadsheets/d/1SX6NBoVAgQJ6U1MVXOaj8PK2l7WJ3RER9xtqwdhxkhw/edit?usp=sharing"",""พระนครศรีอยุธยา!M467"")"),17624)</f>
        <v>17624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IFERROR(__xludf.DUMMYFUNCTION("IMPORTRANGE(""https://docs.google.com/spreadsheets/d/1SX6NBoVAgQJ6U1MVXOaj8PK2l7WJ3RER9xtqwdhxkhw/edit?usp=sharing"",""พระนครศรีอยุธยา!J468"")"),892)</f>
        <v>892</v>
      </c>
      <c r="K573" s="202">
        <f ca="1">IF(I573&gt;0,J573*100/I573,0)</f>
        <v>594.66666666666663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8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8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89">
        <f ca="1">IFERROR(__xludf.DUMMYFUNCTION("IMPORTRANGE(""https://docs.google.com/spreadsheets/d/1SX6NBoVAgQJ6U1MVXOaj8PK2l7WJ3RER9xtqwdhxkhw/edit?usp=sharing"",""พระนครศรีอยุธยา!J472"")"),543)</f>
        <v>543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8">
        <f ca="1">IFERROR(__xludf.DUMMYFUNCTION("IMPORTRANGE(""https://docs.google.com/spreadsheets/d/1SX6NBoVAgQJ6U1MVXOaj8PK2l7WJ3RER9xtqwdhxkhw/edit?usp=sharing"",""พระนครศรีอยุธยา!J473"")"),1)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8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4"/>
      <c r="N581" s="169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5"/>
      <c r="N582" s="169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69"/>
      <c r="N583" s="169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69"/>
      <c r="N584" s="169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2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87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IFERROR(__xludf.DUMMYFUNCTION("IMPORTRANGE(""https://docs.google.com/spreadsheets/d/1SX6NBoVAgQJ6U1MVXOaj8PK2l7WJ3RER9xtqwdhxkhw/edit?usp=sharing"",""พระนครศรีอยุธยา!M492"")"),385.2)</f>
        <v>385.2</v>
      </c>
      <c r="O597" s="412">
        <f t="shared" ref="O597:O601" ca="1" si="126">+IF(L597&gt;0,N597*100/L597,0)</f>
        <v>5.2767123287671236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4"/>
      <c r="N598" s="169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5"/>
      <c r="N599" s="169">
        <f ca="1">IFERROR(__xludf.DUMMYFUNCTION("IMPORTRANGE(""https://docs.google.com/spreadsheets/d/1SX6NBoVAgQJ6U1MVXOaj8PK2l7WJ3RER9xtqwdhxkhw/edit?usp=sharing"",""พระนครศรีอยุธยา!M494"")"),385.2)</f>
        <v>385.2</v>
      </c>
      <c r="O599" s="169">
        <f t="shared" ca="1" si="126"/>
        <v>5.2767123287671236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69"/>
      <c r="N600" s="169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69"/>
      <c r="N601" s="169">
        <f ca="1">IFERROR(__xludf.DUMMYFUNCTION("IMPORTRANGE(""https://docs.google.com/spreadsheets/d/1SX6NBoVAgQJ6U1MVXOaj8PK2l7WJ3RER9xtqwdhxkhw/edit?usp=sharing"",""พระนครศรีอยุธยา!M496"")"),385.2)</f>
        <v>385.2</v>
      </c>
      <c r="O601" s="169">
        <f t="shared" ca="1" si="126"/>
        <v>5.2767123287671236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IFERROR(__xludf.DUMMYFUNCTION("IMPORTRANGE(""https://docs.google.com/spreadsheets/d/1SX6NBoVAgQJ6U1MVXOaj8PK2l7WJ3RER9xtqwdhxkhw/edit?usp=sharing"",""พระนครศรีอยุธยา!M500"")"),385.2)</f>
        <v>385.2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2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8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3">
        <f t="shared" ca="1" si="127"/>
        <v>280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8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3">
        <f t="shared" ca="1" si="127"/>
        <v>280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8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3">
        <f t="shared" ca="1" si="127"/>
        <v>280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8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3">
        <f t="shared" ca="1" si="127"/>
        <v>280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8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8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89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8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3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3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8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8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8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8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2">
        <f ca="1">IFERROR(__xludf.DUMMYFUNCTION("IMPORTRANGE(""https://docs.google.com/spreadsheets/d/1SX6NBoVAgQJ6U1MVXOaj8PK2l7WJ3RER9xtqwdhxkhw/edit?usp=sharing"",""พระนครศรีอยุธยา!J523"")"),10000)</f>
        <v>10000</v>
      </c>
      <c r="K628" s="343">
        <f t="shared" ref="K628:K635" ca="1" si="129">IF(I628&gt;0,J628*100/I628,0)</f>
        <v>3.189308926189983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2">
        <f ca="1">IFERROR(__xludf.DUMMYFUNCTION("IMPORTRANGE(""https://docs.google.com/spreadsheets/d/1SX6NBoVAgQJ6U1MVXOaj8PK2l7WJ3RER9xtqwdhxkhw/edit?usp=sharing"",""พระนครศรีอยุธยา!J524"")"),1)</f>
        <v>1</v>
      </c>
      <c r="K629" s="343">
        <f t="shared" ca="1" si="129"/>
        <v>2.2727272727272729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2">
        <f ca="1">IFERROR(__xludf.DUMMYFUNCTION("IMPORTRANGE(""https://docs.google.com/spreadsheets/d/1SX6NBoVAgQJ6U1MVXOaj8PK2l7WJ3RER9xtqwdhxkhw/edit?usp=sharing"",""พระนครศรีอยุธยา!J525"")"),2076776.65)</f>
        <v>2076776.65</v>
      </c>
      <c r="K630" s="343">
        <f t="shared" ca="1" si="129"/>
        <v>23.444184360735726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2">
        <f ca="1">IFERROR(__xludf.DUMMYFUNCTION("IMPORTRANGE(""https://docs.google.com/spreadsheets/d/1SX6NBoVAgQJ6U1MVXOaj8PK2l7WJ3RER9xtqwdhxkhw/edit?usp=sharing"",""พระนครศรีอยุธยา!J526"")"),179)</f>
        <v>179</v>
      </c>
      <c r="K631" s="343">
        <f t="shared" ca="1" si="129"/>
        <v>67.293233082706763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2">
        <f ca="1">IFERROR(__xludf.DUMMYFUNCTION("IMPORTRANGE(""https://docs.google.com/spreadsheets/d/1SX6NBoVAgQJ6U1MVXOaj8PK2l7WJ3RER9xtqwdhxkhw/edit?usp=sharing"",""พระนครศรีอยุธยา!J527"")"),601463.59)</f>
        <v>601463.59</v>
      </c>
      <c r="K632" s="343">
        <f t="shared" ca="1" si="129"/>
        <v>39.569526567512746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2">
        <f ca="1">IFERROR(__xludf.DUMMYFUNCTION("IMPORTRANGE(""https://docs.google.com/spreadsheets/d/1SX6NBoVAgQJ6U1MVXOaj8PK2l7WJ3RER9xtqwdhxkhw/edit?usp=sharing"",""พระนครศรีอยุธยา!J528"")"),1212)</f>
        <v>1212</v>
      </c>
      <c r="K633" s="343">
        <f t="shared" ca="1" si="129"/>
        <v>81.671159029649601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IFERROR(__xludf.DUMMYFUNCTION("IMPORTRANGE(""https://docs.google.com/spreadsheets/d/1SX6NBoVAgQJ6U1MVXOaj8PK2l7WJ3RER9xtqwdhxkhw/edit?usp=sharing"",""พระนครศรีอยุธยา!I529"")"),1500000)</f>
        <v>1500000</v>
      </c>
      <c r="J634" s="342">
        <f ca="1">IFERROR(__xludf.DUMMYFUNCTION("IMPORTRANGE(""https://docs.google.com/spreadsheets/d/1SX6NBoVAgQJ6U1MVXOaj8PK2l7WJ3RER9xtqwdhxkhw/edit?usp=sharing"",""พระนครศรีอยุธยา!J529"")"),760000)</f>
        <v>760000</v>
      </c>
      <c r="K634" s="343">
        <f t="shared" ca="1" si="129"/>
        <v>50.666666666666664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IFERROR(__xludf.DUMMYFUNCTION("IMPORTRANGE(""https://docs.google.com/spreadsheets/d/1SX6NBoVAgQJ6U1MVXOaj8PK2l7WJ3RER9xtqwdhxkhw/edit?usp=sharing"",""พระนครศรีอยุธยา!I530"")"),50)</f>
        <v>50</v>
      </c>
      <c r="J635" s="504">
        <f ca="1">IFERROR(__xludf.DUMMYFUNCTION("IMPORTRANGE(""https://docs.google.com/spreadsheets/d/1SX6NBoVAgQJ6U1MVXOaj8PK2l7WJ3RER9xtqwdhxkhw/edit?usp=sharing"",""พระนครศรีอยุธยา!J530"")"),16)</f>
        <v>16</v>
      </c>
      <c r="K635" s="486">
        <f t="shared" ca="1" si="129"/>
        <v>32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59320</v>
      </c>
      <c r="M636" s="511"/>
      <c r="N636" s="510">
        <f ca="1">SUM(N637:N638)</f>
        <v>4755</v>
      </c>
      <c r="O636" s="510">
        <f t="shared" ref="O636:O640" ca="1" si="130">+IF(L636&gt;0,N636*100/L636,0)</f>
        <v>8.0158462575859737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59320</v>
      </c>
      <c r="M638" s="521"/>
      <c r="N638" s="522">
        <f ca="1">SUM(N639:N640)</f>
        <v>4755</v>
      </c>
      <c r="O638" s="522">
        <f t="shared" ca="1" si="130"/>
        <v>8.0158462575859737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59320</v>
      </c>
      <c r="M640" s="521"/>
      <c r="N640" s="522">
        <f ca="1">SUM(N641:N644)</f>
        <v>4755</v>
      </c>
      <c r="O640" s="522">
        <f t="shared" ca="1" si="130"/>
        <v>8.0158462575859737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4755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IFERROR(__xludf.DUMMYFUNCTION("IMPORTRANGE(""https://docs.google.com/spreadsheets/d/1SX6NBoVAgQJ6U1MVXOaj8PK2l7WJ3RER9xtqwdhxkhw/edit#gid=346597447"",""พระนครศรีอยุธยา!J541"")"),0)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IFERROR(__xludf.DUMMYFUNCTION("IMPORTRANGE(""https://docs.google.com/spreadsheets/d/1SX6NBoVAgQJ6U1MVXOaj8PK2l7WJ3RER9xtqwdhxkhw/edit#gid=346597447"",""พระนครศรีอยุธยา!J542"")"),1)</f>
        <v>1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IFERROR(__xludf.DUMMYFUNCTION("IMPORTRANGE(""https://docs.google.com/spreadsheets/d/1SX6NBoVAgQJ6U1MVXOaj8PK2l7WJ3RER9xtqwdhxkhw/edit#gid=346597447"",""พระนครศรีอยุธยา!I543"")"),188)</f>
        <v>188</v>
      </c>
      <c r="J648" s="536">
        <f ca="1">IFERROR(__xludf.DUMMYFUNCTION("IMPORTRANGE(""https://docs.google.com/spreadsheets/d/1SX6NBoVAgQJ6U1MVXOaj8PK2l7WJ3RER9xtqwdhxkhw/edit#gid=346597447"",""พระนครศรีอยุธยา!J543"")"),0)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IFERROR(__xludf.DUMMYFUNCTION("IMPORTRANGE(""https://docs.google.com/spreadsheets/d/1SX6NBoVAgQJ6U1MVXOaj8PK2l7WJ3RER9xtqwdhxkhw/edit#gid=346597447"",""พระนครศรีอยุธยา!L543"")"),15040)</f>
        <v>15040</v>
      </c>
      <c r="M648" s="521"/>
      <c r="N648" s="538">
        <f ca="1">IFERROR(__xludf.DUMMYFUNCTION("IMPORTRANGE(""https://docs.google.com/spreadsheets/d/1SX6NBoVAgQJ6U1MVXOaj8PK2l7WJ3RER9xtqwdhxkhw/edit#gid=346597447"",""พระนครศรีอยุธยา!M543"")"),0)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IFERROR(__xludf.DUMMYFUNCTION("IMPORTRANGE(""https://docs.google.com/spreadsheets/d/1SX6NBoVAgQJ6U1MVXOaj8PK2l7WJ3RER9xtqwdhxkhw/edit#gid=346597447"",""พระนครศรีอยุธยา!I544"")"),45)</f>
        <v>45</v>
      </c>
      <c r="J649" s="536">
        <f ca="1">IFERROR(__xludf.DUMMYFUNCTION("IMPORTRANGE(""https://docs.google.com/spreadsheets/d/1SX6NBoVAgQJ6U1MVXOaj8PK2l7WJ3RER9xtqwdhxkhw/edit#gid=346597447"",""พระนครศรีอยุธยา!J544"")"),0)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IFERROR(__xludf.DUMMYFUNCTION("IMPORTRANGE(""https://docs.google.com/spreadsheets/d/1SX6NBoVAgQJ6U1MVXOaj8PK2l7WJ3RER9xtqwdhxkhw/edit#gid=346597447"",""พระนครศรีอยุธยา!L544"")"),5400)</f>
        <v>5400</v>
      </c>
      <c r="M649" s="521"/>
      <c r="N649" s="538">
        <f ca="1">IFERROR(__xludf.DUMMYFUNCTION("IMPORTRANGE(""https://docs.google.com/spreadsheets/d/1SX6NBoVAgQJ6U1MVXOaj8PK2l7WJ3RER9xtqwdhxkhw/edit#gid=346597447"",""พระนครศรีอยุธยา!M544"")"),0)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IFERROR(__xludf.DUMMYFUNCTION("IMPORTRANGE(""https://docs.google.com/spreadsheets/d/1SX6NBoVAgQJ6U1MVXOaj8PK2l7WJ3RER9xtqwdhxkhw/edit#gid=346597447"",""พระนครศรีอยุธยา!I545"")"),0)</f>
        <v>0</v>
      </c>
      <c r="J650" s="536">
        <f ca="1">IFERROR(__xludf.DUMMYFUNCTION("IMPORTRANGE(""https://docs.google.com/spreadsheets/d/1SX6NBoVAgQJ6U1MVXOaj8PK2l7WJ3RER9xtqwdhxkhw/edit#gid=346597447"",""พระนครศรีอยุธยา!J545"")"),0)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IFERROR(__xludf.DUMMYFUNCTION("IMPORTRANGE(""https://docs.google.com/spreadsheets/d/1SX6NBoVAgQJ6U1MVXOaj8PK2l7WJ3RER9xtqwdhxkhw/edit#gid=346597447"",""พระนครศรีอยุธยา!L545"")"),0)</f>
        <v>0</v>
      </c>
      <c r="M650" s="521"/>
      <c r="N650" s="538">
        <f ca="1">IFERROR(__xludf.DUMMYFUNCTION("IMPORTRANGE(""https://docs.google.com/spreadsheets/d/1SX6NBoVAgQJ6U1MVXOaj8PK2l7WJ3RER9xtqwdhxkhw/edit#gid=346597447"",""พระนครศรีอยุธยา!M545"")"),0)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IFERROR(__xludf.DUMMYFUNCTION("IMPORTRANGE(""https://docs.google.com/spreadsheets/d/1SX6NBoVAgQJ6U1MVXOaj8PK2l7WJ3RER9xtqwdhxkhw/edit#gid=346597447"",""พระนครศรีอยุธยา!I546"")"),0)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IFERROR(__xludf.DUMMYFUNCTION("IMPORTRANGE(""https://docs.google.com/spreadsheets/d/1SX6NBoVAgQJ6U1MVXOaj8PK2l7WJ3RER9xtqwdhxkhw/edit#gid=346597447"",""พระนครศรีอยุธยา!L546"")"),0)</f>
        <v>0</v>
      </c>
      <c r="M651" s="521"/>
      <c r="N651" s="538">
        <f ca="1">IFERROR(__xludf.DUMMYFUNCTION("IMPORTRANGE(""https://docs.google.com/spreadsheets/d/1SX6NBoVAgQJ6U1MVXOaj8PK2l7WJ3RER9xtqwdhxkhw/edit#gid=346597447"",""พระนครศรีอยุธยา!M546"")"),0)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IFERROR(__xludf.DUMMYFUNCTION("IMPORTRANGE(""https://docs.google.com/spreadsheets/d/1SX6NBoVAgQJ6U1MVXOaj8PK2l7WJ3RER9xtqwdhxkhw/edit#gid=346597447"",""พระนครศรีอยุธยา!J547"")"),0)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IFERROR(__xludf.DUMMYFUNCTION("IMPORTRANGE(""https://docs.google.com/spreadsheets/d/1SX6NBoVAgQJ6U1MVXOaj8PK2l7WJ3RER9xtqwdhxkhw/edit#gid=346597447"",""พระนครศรีอยุธยา!J548"")"),0)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IFERROR(__xludf.DUMMYFUNCTION("IMPORTRANGE(""https://docs.google.com/spreadsheets/d/1SX6NBoVAgQJ6U1MVXOaj8PK2l7WJ3RER9xtqwdhxkhw/edit#gid=346597447"",""พระนครศรีอยุธยา!J550"")"),0)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IFERROR(__xludf.DUMMYFUNCTION("IMPORTRANGE(""https://docs.google.com/spreadsheets/d/1SX6NBoVAgQJ6U1MVXOaj8PK2l7WJ3RER9xtqwdhxkhw/edit#gid=346597447"",""พระนครศรีอยุธยา!J551"")"),0)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IFERROR(__xludf.DUMMYFUNCTION("IMPORTRANGE(""https://docs.google.com/spreadsheets/d/1SX6NBoVAgQJ6U1MVXOaj8PK2l7WJ3RER9xtqwdhxkhw/edit#gid=346597447"",""พระนครศรีอยุธยา!J552"")"),0)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IFERROR(__xludf.DUMMYFUNCTION("IMPORTRANGE(""https://docs.google.com/spreadsheets/d/1SX6NBoVAgQJ6U1MVXOaj8PK2l7WJ3RER9xtqwdhxkhw/edit#gid=346597447"",""พระนครศรีอยุธยา!J553"")"),0)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IFERROR(__xludf.DUMMYFUNCTION("IMPORTRANGE(""https://docs.google.com/spreadsheets/d/1SX6NBoVAgQJ6U1MVXOaj8PK2l7WJ3RER9xtqwdhxkhw/edit#gid=346597447"",""พระนครศรีอยุธยา!J554"")"),0)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IFERROR(__xludf.DUMMYFUNCTION("IMPORTRANGE(""https://docs.google.com/spreadsheets/d/1SX6NBoVAgQJ6U1MVXOaj8PK2l7WJ3RER9xtqwdhxkhw/edit#gid=346597447"",""พระนครศรีอยุธยา!J555"")"),0)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IFERROR(__xludf.DUMMYFUNCTION("IMPORTRANGE(""https://docs.google.com/spreadsheets/d/1SX6NBoVAgQJ6U1MVXOaj8PK2l7WJ3RER9xtqwdhxkhw/edit#gid=346597447"",""พระนครศรีอยุธยา!J556"")"),0)</f>
        <v>0</v>
      </c>
      <c r="K661" s="537"/>
      <c r="L661" s="522">
        <f ca="1">IFERROR(__xludf.DUMMYFUNCTION("IMPORTRANGE(""https://docs.google.com/spreadsheets/d/1SX6NBoVAgQJ6U1MVXOaj8PK2l7WJ3RER9xtqwdhxkhw/edit#gid=346597447"",""พระนครศรีอยุธยา!L556"")"),8000)</f>
        <v>8000</v>
      </c>
      <c r="M661" s="521"/>
      <c r="N661" s="538">
        <f ca="1">IFERROR(__xludf.DUMMYFUNCTION("IMPORTRANGE(""https://docs.google.com/spreadsheets/d/1SX6NBoVAgQJ6U1MVXOaj8PK2l7WJ3RER9xtqwdhxkhw/edit#gid=346597447"",""พระนครศรีอยุธยา!M556"")"),0)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IFERROR(__xludf.DUMMYFUNCTION("IMPORTRANGE(""https://docs.google.com/spreadsheets/d/1SX6NBoVAgQJ6U1MVXOaj8PK2l7WJ3RER9xtqwdhxkhw/edit#gid=346597447"",""พระนครศรีอยุธยา!J557"")"),0)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IFERROR(__xludf.DUMMYFUNCTION("IMPORTRANGE(""https://docs.google.com/spreadsheets/d/1SX6NBoVAgQJ6U1MVXOaj8PK2l7WJ3RER9xtqwdhxkhw/edit#gid=346597447"",""พระนครศรีอยุธยา!I558"")"),200)</f>
        <v>200</v>
      </c>
      <c r="J663" s="536">
        <f ca="1">IFERROR(__xludf.DUMMYFUNCTION("IMPORTRANGE(""https://docs.google.com/spreadsheets/d/1SX6NBoVAgQJ6U1MVXOaj8PK2l7WJ3RER9xtqwdhxkhw/edit#gid=346597447"",""พระนครศรีอยุธยา!J558"")"),0)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IFERROR(__xludf.DUMMYFUNCTION("IMPORTRANGE(""https://docs.google.com/spreadsheets/d/1SX6NBoVAgQJ6U1MVXOaj8PK2l7WJ3RER9xtqwdhxkhw/edit#gid=346597447"",""พระนครศรีอยุธยา!I560"")"),20)</f>
        <v>20</v>
      </c>
      <c r="J665" s="536">
        <f ca="1">IFERROR(__xludf.DUMMYFUNCTION("IMPORTRANGE(""https://docs.google.com/spreadsheets/d/1SX6NBoVAgQJ6U1MVXOaj8PK2l7WJ3RER9xtqwdhxkhw/edit#gid=346597447"",""พระนครศรีอยุธยา!J560"")"),0)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IFERROR(__xludf.DUMMYFUNCTION("IMPORTRANGE(""https://docs.google.com/spreadsheets/d/1SX6NBoVAgQJ6U1MVXOaj8PK2l7WJ3RER9xtqwdhxkhw/edit#gid=346597447"",""พระนครศรีอยุธยา!L560"")"),2400)</f>
        <v>2400</v>
      </c>
      <c r="M665" s="521"/>
      <c r="N665" s="538">
        <f ca="1">IFERROR(__xludf.DUMMYFUNCTION("IMPORTRANGE(""https://docs.google.com/spreadsheets/d/1SX6NBoVAgQJ6U1MVXOaj8PK2l7WJ3RER9xtqwdhxkhw/edit#gid=346597447"",""พระนครศรีอยุธยา!M560"")"),735)</f>
        <v>735</v>
      </c>
      <c r="O665" s="537">
        <f ca="1">IF(L665&gt;0,N665*100/L665,0)</f>
        <v>30.625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IFERROR(__xludf.DUMMYFUNCTION("IMPORTRANGE(""https://docs.google.com/spreadsheets/d/1SX6NBoVAgQJ6U1MVXOaj8PK2l7WJ3RER9xtqwdhxkhw/edit#gid=346597447"",""พระนครศรีอยุธยา!J561"")"),0)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IFERROR(__xludf.DUMMYFUNCTION("IMPORTRANGE(""https://docs.google.com/spreadsheets/d/1SX6NBoVAgQJ6U1MVXOaj8PK2l7WJ3RER9xtqwdhxkhw/edit#gid=346597447"",""พระนครศรีอยุธยา!J562"")"),0)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IFERROR(__xludf.DUMMYFUNCTION("IMPORTRANGE(""https://docs.google.com/spreadsheets/d/1SX6NBoVAgQJ6U1MVXOaj8PK2l7WJ3RER9xtqwdhxkhw/edit#gid=346597447"",""พระนครศรีอยุธยา!I563"")"),4)</f>
        <v>4</v>
      </c>
      <c r="J668" s="536">
        <f ca="1">IFERROR(__xludf.DUMMYFUNCTION("IMPORTRANGE(""https://docs.google.com/spreadsheets/d/1SX6NBoVAgQJ6U1MVXOaj8PK2l7WJ3RER9xtqwdhxkhw/edit#gid=346597447"",""พระนครศรีอยุธยา!J563"")"),0)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IFERROR(__xludf.DUMMYFUNCTION("IMPORTRANGE(""https://docs.google.com/spreadsheets/d/1SX6NBoVAgQJ6U1MVXOaj8PK2l7WJ3RER9xtqwdhxkhw/edit#gid=346597447"",""พระนครศรีอยุธยา!L563"")"),2080)</f>
        <v>2080</v>
      </c>
      <c r="M668" s="521"/>
      <c r="N668" s="538">
        <f ca="1">IFERROR(__xludf.DUMMYFUNCTION("IMPORTRANGE(""https://docs.google.com/spreadsheets/d/1SX6NBoVAgQJ6U1MVXOaj8PK2l7WJ3RER9xtqwdhxkhw/edit#gid=346597447"",""พระนครศรีอยุธยา!M563"")"),0)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IFERROR(__xludf.DUMMYFUNCTION("IMPORTRANGE(""https://docs.google.com/spreadsheets/d/1SX6NBoVAgQJ6U1MVXOaj8PK2l7WJ3RER9xtqwdhxkhw/edit#gid=346597447"",""พระนครศรีอยุธยา!J564"")"),0)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IFERROR(__xludf.DUMMYFUNCTION("IMPORTRANGE(""https://docs.google.com/spreadsheets/d/1SX6NBoVAgQJ6U1MVXOaj8PK2l7WJ3RER9xtqwdhxkhw/edit#gid=346597447"",""พระนครศรีอยุธยา!J565"")"),0)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IFERROR(__xludf.DUMMYFUNCTION("IMPORTRANGE(""https://docs.google.com/spreadsheets/d/1SX6NBoVAgQJ6U1MVXOaj8PK2l7WJ3RER9xtqwdhxkhw/edit#gid=346597447"",""พระนครศรีอยุธยา!I566"")"),330)</f>
        <v>330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IFERROR(__xludf.DUMMYFUNCTION("IMPORTRANGE(""https://docs.google.com/spreadsheets/d/1SX6NBoVAgQJ6U1MVXOaj8PK2l7WJ3RER9xtqwdhxkhw/edit#gid=346597447"",""พระนครศรีอยุธยา!L566"")"),26400)</f>
        <v>26400</v>
      </c>
      <c r="M671" s="521"/>
      <c r="N671" s="538">
        <f ca="1">IFERROR(__xludf.DUMMYFUNCTION("IMPORTRANGE(""https://docs.google.com/spreadsheets/d/1SX6NBoVAgQJ6U1MVXOaj8PK2l7WJ3RER9xtqwdhxkhw/edit#gid=346597447"",""พระนครศรีอยุธยา!M566"")"),4020)</f>
        <v>4020</v>
      </c>
      <c r="O671" s="537">
        <f ca="1">IF(L671&gt;0,N671*100/L671,0)</f>
        <v>15.227272727272727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IFERROR(__xludf.DUMMYFUNCTION("IMPORTRANGE(""https://docs.google.com/spreadsheets/d/1SX6NBoVAgQJ6U1MVXOaj8PK2l7WJ3RER9xtqwdhxkhw/edit#gid=346597447"",""พระนครศรีอยุธยา!J567"")"),0)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IFERROR(__xludf.DUMMYFUNCTION("IMPORTRANGE(""https://docs.google.com/spreadsheets/d/1SX6NBoVAgQJ6U1MVXOaj8PK2l7WJ3RER9xtqwdhxkhw/edit#gid=346597447"",""พระนครศรีอยุธยา!J568"")"),0)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IFERROR(__xludf.DUMMYFUNCTION("IMPORTRANGE(""https://docs.google.com/spreadsheets/d/1SX6NBoVAgQJ6U1MVXOaj8PK2l7WJ3RER9xtqwdhxkhw/edit#gid=346597447"",""พระนครศรีอยุธยา!J569"")"),0)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IFERROR(__xludf.DUMMYFUNCTION("IMPORTRANGE(""https://docs.google.com/spreadsheets/d/1SX6NBoVAgQJ6U1MVXOaj8PK2l7WJ3RER9xtqwdhxkhw/edit#gid=346597447"",""พระนครศรีอยุธยา!J570"")"),0)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IFERROR(__xludf.DUMMYFUNCTION("IMPORTRANGE(""https://docs.google.com/spreadsheets/d/1SX6NBoVAgQJ6U1MVXOaj8PK2l7WJ3RER9xtqwdhxkhw/edit#gid=346597447"",""พระนครศรีอยุธยา!J571"")"),0)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IFERROR(__xludf.DUMMYFUNCTION("IMPORTRANGE(""https://docs.google.com/spreadsheets/d/1SX6NBoVAgQJ6U1MVXOaj8PK2l7WJ3RER9xtqwdhxkhw/edit#gid=346597447"",""พระนครศรีอยุธยา!J572"")"),0)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284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2855602</v>
      </c>
      <c r="M8" s="23">
        <f t="shared" ca="1" si="0"/>
        <v>1580357.8</v>
      </c>
      <c r="N8" s="23">
        <f t="shared" ca="1" si="0"/>
        <v>1886978.31</v>
      </c>
      <c r="O8" s="22">
        <f t="shared" ref="O8:O16" ca="1" si="1">IF(L8&gt;0,N8*100/L8,0)</f>
        <v>66.079877728058747</v>
      </c>
      <c r="P8" s="22">
        <f t="shared" ref="P8:P16" ca="1" si="2">IF(M8&gt;0,N8*100/M8,0)</f>
        <v>119.40196770630043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2855602</v>
      </c>
      <c r="M10" s="30">
        <f t="shared" ca="1" si="4"/>
        <v>1580357.8</v>
      </c>
      <c r="N10" s="30">
        <f t="shared" ca="1" si="4"/>
        <v>1886978.31</v>
      </c>
      <c r="O10" s="29">
        <f t="shared" ca="1" si="1"/>
        <v>66.079877728058747</v>
      </c>
      <c r="P10" s="29">
        <f t="shared" ca="1" si="2"/>
        <v>119.40196770630043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2677602</v>
      </c>
      <c r="M12" s="38">
        <f t="shared" ca="1" si="6"/>
        <v>1402357.8</v>
      </c>
      <c r="N12" s="38">
        <f t="shared" ca="1" si="6"/>
        <v>1708978.31</v>
      </c>
      <c r="O12" s="38">
        <f t="shared" ca="1" si="1"/>
        <v>63.824956434899583</v>
      </c>
      <c r="P12" s="38">
        <f t="shared" ca="1" si="2"/>
        <v>121.86464181965543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1547900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1129702</v>
      </c>
      <c r="M14" s="38">
        <f t="shared" si="8"/>
        <v>0</v>
      </c>
      <c r="N14" s="38">
        <f t="shared" ca="1" si="8"/>
        <v>441652</v>
      </c>
      <c r="O14" s="38">
        <f t="shared" ca="1" si="1"/>
        <v>39.094557679812908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178000</v>
      </c>
      <c r="M16" s="38">
        <f t="shared" ca="1" si="10"/>
        <v>178000</v>
      </c>
      <c r="N16" s="38">
        <f t="shared" ca="1" si="10"/>
        <v>178000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2005105</v>
      </c>
      <c r="M18" s="23">
        <f t="shared" ca="1" si="11"/>
        <v>1580357.8</v>
      </c>
      <c r="N18" s="23">
        <f t="shared" ca="1" si="11"/>
        <v>1445326.31</v>
      </c>
      <c r="O18" s="22">
        <f t="shared" ref="O18:O20" ca="1" si="12">IF(L18&gt;0,N18*100/L18,0)</f>
        <v>72.082325364507099</v>
      </c>
      <c r="P18" s="22">
        <f t="shared" ref="P18:P26" ca="1" si="13">IF(M18&gt;0,N18*100/M18,0)</f>
        <v>91.45563808398326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2005105</v>
      </c>
      <c r="M20" s="30">
        <f t="shared" ca="1" si="15"/>
        <v>1580357.8</v>
      </c>
      <c r="N20" s="30">
        <f t="shared" ca="1" si="15"/>
        <v>1445326.31</v>
      </c>
      <c r="O20" s="29">
        <f t="shared" ca="1" si="12"/>
        <v>72.082325364507099</v>
      </c>
      <c r="P20" s="29">
        <f t="shared" ca="1" si="13"/>
        <v>91.45563808398326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1827105</v>
      </c>
      <c r="M22" s="41">
        <f t="shared" ca="1" si="18"/>
        <v>1402357.8</v>
      </c>
      <c r="N22" s="38">
        <f t="shared" ca="1" si="18"/>
        <v>1267326.31</v>
      </c>
      <c r="O22" s="38">
        <f t="shared" ca="1" si="17"/>
        <v>69.36253307828504</v>
      </c>
      <c r="P22" s="38">
        <f t="shared" ca="1" si="13"/>
        <v>90.371109997748079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1547900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279205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178000</v>
      </c>
      <c r="M26" s="49">
        <f t="shared" ca="1" si="22"/>
        <v>178000</v>
      </c>
      <c r="N26" s="49">
        <f t="shared" ca="1" si="22"/>
        <v>178000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850497</v>
      </c>
      <c r="M28" s="23">
        <f t="shared" si="23"/>
        <v>0</v>
      </c>
      <c r="N28" s="23">
        <f t="shared" ca="1" si="23"/>
        <v>441652</v>
      </c>
      <c r="O28" s="22">
        <f t="shared" ref="O28:O30" ca="1" si="24">IF(L28&gt;0,N28*100/L28,0)</f>
        <v>51.928695809626603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850497</v>
      </c>
      <c r="M30" s="30">
        <f t="shared" si="27"/>
        <v>0</v>
      </c>
      <c r="N30" s="30">
        <f t="shared" ca="1" si="27"/>
        <v>441652</v>
      </c>
      <c r="O30" s="29">
        <f t="shared" ca="1" si="24"/>
        <v>51.928695809626603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850497</v>
      </c>
      <c r="M32" s="38">
        <f t="shared" si="30"/>
        <v>0</v>
      </c>
      <c r="N32" s="38">
        <f t="shared" ca="1" si="30"/>
        <v>441652</v>
      </c>
      <c r="O32" s="38">
        <f t="shared" ca="1" si="29"/>
        <v>51.928695809626603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850497</v>
      </c>
      <c r="M34" s="38">
        <f t="shared" si="32"/>
        <v>0</v>
      </c>
      <c r="N34" s="38">
        <f t="shared" ca="1" si="32"/>
        <v>441652</v>
      </c>
      <c r="O34" s="38">
        <f t="shared" ca="1" si="29"/>
        <v>51.928695809626603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2005105</v>
      </c>
      <c r="M37" s="54">
        <f t="shared" ca="1" si="33"/>
        <v>1580357.8</v>
      </c>
      <c r="N37" s="54">
        <f t="shared" ca="1" si="33"/>
        <v>1445326.31</v>
      </c>
      <c r="O37" s="55">
        <f t="shared" ca="1" si="29"/>
        <v>72.082325364507099</v>
      </c>
      <c r="P37" s="55">
        <f t="shared" ca="1" si="25"/>
        <v>91.45563808398326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862100</v>
      </c>
      <c r="M41" s="78">
        <f t="shared" ca="1" si="34"/>
        <v>691100</v>
      </c>
      <c r="N41" s="78">
        <f t="shared" ca="1" si="34"/>
        <v>632213.51</v>
      </c>
      <c r="O41" s="77">
        <f t="shared" ref="O41:O43" ca="1" si="35">IF(L41&gt;0,N41*100/L41,0)</f>
        <v>73.334127131423273</v>
      </c>
      <c r="P41" s="77">
        <f t="shared" ref="P41:P43" ca="1" si="36">IF(M41&gt;0,N41*100/M41,0)</f>
        <v>91.479309795977429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862100</v>
      </c>
      <c r="M43" s="78">
        <f t="shared" ca="1" si="38"/>
        <v>691100</v>
      </c>
      <c r="N43" s="78">
        <f t="shared" ca="1" si="38"/>
        <v>632213.51</v>
      </c>
      <c r="O43" s="77">
        <f t="shared" ca="1" si="35"/>
        <v>73.334127131423273</v>
      </c>
      <c r="P43" s="77">
        <f t="shared" ca="1" si="36"/>
        <v>91.479309795977429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684100</v>
      </c>
      <c r="M45" s="49">
        <f ca="1">IFERROR(__xludf.DUMMYFUNCTION("IMPORTRANGE(""https://docs.google.com/spreadsheets/d/1Yj_ptqi66GCucihVvJfMjLAmec39IyEx_6qawtMGysU/edit?usp=sharing"",""สบก!Q71"")"),513100)</f>
        <v>513100</v>
      </c>
      <c r="N45" s="49">
        <f ca="1">IFERROR(__xludf.DUMMYFUNCTION("IMPORTRANGE(""https://docs.google.com/spreadsheets/d/1Yj_ptqi66GCucihVvJfMjLAmec39IyEx_6qawtMGysU/edit?usp=sharing"",""สบก!R71"")"),454213.51)</f>
        <v>454213.51</v>
      </c>
      <c r="O45" s="38">
        <f ca="1">IF(L45&gt;0,N45*100/L45,0)</f>
        <v>66.395776933196899</v>
      </c>
      <c r="P45" s="38">
        <f ca="1">IF(M45&gt;0,N45*100/M45,0)</f>
        <v>88.523389202884431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IFERROR(__xludf.DUMMYFUNCTION("IMPORTRANGE(""https://docs.google.com/spreadsheets/d/1Yj_ptqi66GCucihVvJfMjLAmec39IyEx_6qawtMGysU/edit?usp=sharing"",""สบก!M71"")"),684100)</f>
        <v>684100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IFERROR(__xludf.DUMMYFUNCTION("IMPORTRANGE(""https://docs.google.com/spreadsheets/d/1Yj_ptqi66GCucihVvJfMjLAmec39IyEx_6qawtMGysU/edit?usp=sharing"",""สบก!O71"")"),178000)</f>
        <v>178000</v>
      </c>
      <c r="M49" s="49">
        <f ca="1">L49</f>
        <v>178000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370000</v>
      </c>
      <c r="M53" s="121">
        <f t="shared" ca="1" si="39"/>
        <v>291987.8</v>
      </c>
      <c r="N53" s="121">
        <f t="shared" ca="1" si="39"/>
        <v>237824</v>
      </c>
      <c r="O53" s="120">
        <f t="shared" ref="O53:O55" ca="1" si="40">IF(L53&gt;0,N53*100/L53,0)</f>
        <v>64.276756756756754</v>
      </c>
      <c r="P53" s="120">
        <f t="shared" ref="P53:P55" ca="1" si="41">IF(M53&gt;0,N53*100/M53,0)</f>
        <v>81.449978389508061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370000</v>
      </c>
      <c r="M55" s="121">
        <f t="shared" ca="1" si="43"/>
        <v>291987.8</v>
      </c>
      <c r="N55" s="121">
        <f t="shared" ca="1" si="43"/>
        <v>237824</v>
      </c>
      <c r="O55" s="120">
        <f t="shared" ca="1" si="40"/>
        <v>64.276756756756754</v>
      </c>
      <c r="P55" s="120">
        <f t="shared" ca="1" si="41"/>
        <v>81.449978389508061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370000</v>
      </c>
      <c r="M57" s="49">
        <f ca="1">IFERROR(__xludf.DUMMYFUNCTION("IMPORTRANGE(""https://docs.google.com/spreadsheets/d/1Yj_ptqi66GCucihVvJfMjLAmec39IyEx_6qawtMGysU/edit?usp=sharing"",""สบก!Z71"")"),291987.8)</f>
        <v>291987.8</v>
      </c>
      <c r="N57" s="49">
        <f ca="1">IFERROR(__xludf.DUMMYFUNCTION("IMPORTRANGE(""https://docs.google.com/spreadsheets/d/1Yj_ptqi66GCucihVvJfMjLAmec39IyEx_6qawtMGysU/edit?usp=sharing"",""สบก!AA71"")"),237824)</f>
        <v>237824</v>
      </c>
      <c r="O57" s="38">
        <f ca="1">IF(L57&gt;0,N57*100/L57,0)</f>
        <v>64.276756756756754</v>
      </c>
      <c r="P57" s="38">
        <f ca="1">IF(M57&gt;0,N57*100/M57,0)</f>
        <v>81.449978389508061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IFERROR(__xludf.DUMMYFUNCTION("IMPORTRANGE(""https://docs.google.com/spreadsheets/d/1Yj_ptqi66GCucihVvJfMjLAmec39IyEx_6qawtMGysU/edit?usp=sharing"",""สบก!V71"")"),370000)</f>
        <v>370000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IFERROR(__xludf.DUMMYFUNCTION("IMPORTRANGE(""https://docs.google.com/spreadsheets/d/1Yj_ptqi66GCucihVvJfMjLAmec39IyEx_6qawtMGysU/edit?usp=sharing"",""สบก!AI71"")"),0)</f>
        <v>0</v>
      </c>
      <c r="N70" s="169">
        <f ca="1">IFERROR(__xludf.DUMMYFUNCTION("IMPORTRANGE(""https://docs.google.com/spreadsheets/d/1Yj_ptqi66GCucihVvJfMjLAmec39IyEx_6qawtMGysU/edit?usp=sharing"",""สบก!AJ71"")"),0)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IFERROR(__xludf.DUMMYFUNCTION("IMPORTRANGE(""https://docs.google.com/spreadsheets/d/1Yj_ptqi66GCucihVvJfMjLAmec39IyEx_6qawtMGysU/edit?usp=sharing"",""สบก!AE71"")"),0)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IFERROR(__xludf.DUMMYFUNCTION("IMPORTRANGE(""https://docs.google.com/spreadsheets/d/1Yj_ptqi66GCucihVvJfMjLAmec39IyEx_6qawtMGysU/edit?usp=sharing"",""สบก!AF71"")"),0)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IFERROR(__xludf.DUMMYFUNCTION("IMPORTRANGE(""https://docs.google.com/spreadsheets/d/1SX6NBoVAgQJ6U1MVXOaj8PK2l7WJ3RER9xtqwdhxkhw/edit?usp=sharing"",""เพชรบุรี!J16"")"),0)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IFERROR(__xludf.DUMMYFUNCTION("IMPORTRANGE(""https://docs.google.com/spreadsheets/d/1SX6NBoVAgQJ6U1MVXOaj8PK2l7WJ3RER9xtqwdhxkhw/edit?usp=sharing"",""เพชรบุรี!J17"")"),0)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IFERROR(__xludf.DUMMYFUNCTION("IMPORTRANGE(""https://docs.google.com/spreadsheets/d/1SX6NBoVAgQJ6U1MVXOaj8PK2l7WJ3RER9xtqwdhxkhw/edit?usp=sharing"",""เพชรบุรี!J18"")"),0)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IFERROR(__xludf.DUMMYFUNCTION("IMPORTRANGE(""https://docs.google.com/spreadsheets/d/1SX6NBoVAgQJ6U1MVXOaj8PK2l7WJ3RER9xtqwdhxkhw/edit?usp=sharing"",""เพชรบุรี!J19"")"),0)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IFERROR(__xludf.DUMMYFUNCTION("IMPORTRANGE(""https://docs.google.com/spreadsheets/d/1SX6NBoVAgQJ6U1MVXOaj8PK2l7WJ3RER9xtqwdhxkhw/edit?usp=sharing"",""เพชรบุรี!I20"")"),0)</f>
        <v>0</v>
      </c>
      <c r="J80" s="201">
        <f ca="1">IFERROR(__xludf.DUMMYFUNCTION("IMPORTRANGE(""https://docs.google.com/spreadsheets/d/1SX6NBoVAgQJ6U1MVXOaj8PK2l7WJ3RER9xtqwdhxkhw/edit?usp=sharing"",""เพชรบุรี!J20"")"),0)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IFERROR(__xludf.DUMMYFUNCTION("IMPORTRANGE(""https://docs.google.com/spreadsheets/d/1SX6NBoVAgQJ6U1MVXOaj8PK2l7WJ3RER9xtqwdhxkhw/edit?usp=sharing"",""เพชรบุรี!I21"")"),0)</f>
        <v>0</v>
      </c>
      <c r="J81" s="201">
        <f ca="1">IFERROR(__xludf.DUMMYFUNCTION("IMPORTRANGE(""https://docs.google.com/spreadsheets/d/1SX6NBoVAgQJ6U1MVXOaj8PK2l7WJ3RER9xtqwdhxkhw/edit?usp=sharing"",""เพชรบุรี!J21"")"),0)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IFERROR(__xludf.DUMMYFUNCTION("IMPORTRANGE(""https://docs.google.com/spreadsheets/d/1SX6NBoVAgQJ6U1MVXOaj8PK2l7WJ3RER9xtqwdhxkhw/edit?usp=sharing"",""เพชรบุรี!I22"")"),0)</f>
        <v>0</v>
      </c>
      <c r="J82" s="204">
        <f ca="1">IFERROR(__xludf.DUMMYFUNCTION("IMPORTRANGE(""https://docs.google.com/spreadsheets/d/1SX6NBoVAgQJ6U1MVXOaj8PK2l7WJ3RER9xtqwdhxkhw/edit?usp=sharing"",""เพชรบุรี!J22"")"),0)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IFERROR(__xludf.DUMMYFUNCTION("IMPORTRANGE(""https://docs.google.com/spreadsheets/d/1SX6NBoVAgQJ6U1MVXOaj8PK2l7WJ3RER9xtqwdhxkhw/edit?usp=sharing"",""เพชรบุรี!I23"")"),0)</f>
        <v>0</v>
      </c>
      <c r="J83" s="204">
        <f ca="1">IFERROR(__xludf.DUMMYFUNCTION("IMPORTRANGE(""https://docs.google.com/spreadsheets/d/1SX6NBoVAgQJ6U1MVXOaj8PK2l7WJ3RER9xtqwdhxkhw/edit?usp=sharing"",""เพชรบุรี!J23"")"),0)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IFERROR(__xludf.DUMMYFUNCTION("IMPORTRANGE(""https://docs.google.com/spreadsheets/d/1SX6NBoVAgQJ6U1MVXOaj8PK2l7WJ3RER9xtqwdhxkhw/edit?usp=sharing"",""เพชรบุรี!I24"")"),0)</f>
        <v>0</v>
      </c>
      <c r="J84" s="189">
        <f ca="1">IFERROR(__xludf.DUMMYFUNCTION("IMPORTRANGE(""https://docs.google.com/spreadsheets/d/1SX6NBoVAgQJ6U1MVXOaj8PK2l7WJ3RER9xtqwdhxkhw/edit?usp=sharing"",""เพชรบุรี!J24"")"),0)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IFERROR(__xludf.DUMMYFUNCTION("IMPORTRANGE(""https://docs.google.com/spreadsheets/d/1SX6NBoVAgQJ6U1MVXOaj8PK2l7WJ3RER9xtqwdhxkhw/edit?usp=sharing"",""เพชรบุรี!I25"")"),0)</f>
        <v>0</v>
      </c>
      <c r="J85" s="189">
        <f ca="1">IFERROR(__xludf.DUMMYFUNCTION("IMPORTRANGE(""https://docs.google.com/spreadsheets/d/1SX6NBoVAgQJ6U1MVXOaj8PK2l7WJ3RER9xtqwdhxkhw/edit?usp=sharing"",""เพชรบุรี!J25"")"),0)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IFERROR(__xludf.DUMMYFUNCTION("IMPORTRANGE(""https://docs.google.com/spreadsheets/d/1SX6NBoVAgQJ6U1MVXOaj8PK2l7WJ3RER9xtqwdhxkhw/edit?usp=sharing"",""เพชรบุรี!I26"")"),0)</f>
        <v>0</v>
      </c>
      <c r="J86" s="204">
        <f ca="1">IFERROR(__xludf.DUMMYFUNCTION("IMPORTRANGE(""https://docs.google.com/spreadsheets/d/1SX6NBoVAgQJ6U1MVXOaj8PK2l7WJ3RER9xtqwdhxkhw/edit?usp=sharing"",""เพชรบุรี!J26"")"),0)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IFERROR(__xludf.DUMMYFUNCTION("IMPORTRANGE(""https://docs.google.com/spreadsheets/d/1SX6NBoVAgQJ6U1MVXOaj8PK2l7WJ3RER9xtqwdhxkhw/edit?usp=sharing"",""เพชรบุรี!I27"")"),0)</f>
        <v>0</v>
      </c>
      <c r="J87" s="204">
        <f ca="1">IFERROR(__xludf.DUMMYFUNCTION("IMPORTRANGE(""https://docs.google.com/spreadsheets/d/1SX6NBoVAgQJ6U1MVXOaj8PK2l7WJ3RER9xtqwdhxkhw/edit?usp=sharing"",""เพชรบุรี!J27"")"),0)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IFERROR(__xludf.DUMMYFUNCTION("IMPORTRANGE(""https://docs.google.com/spreadsheets/d/1SX6NBoVAgQJ6U1MVXOaj8PK2l7WJ3RER9xtqwdhxkhw/edit?usp=sharing"",""เพชรบุรี!I28"")"),0)</f>
        <v>0</v>
      </c>
      <c r="J88" s="204">
        <f ca="1">IFERROR(__xludf.DUMMYFUNCTION("IMPORTRANGE(""https://docs.google.com/spreadsheets/d/1SX6NBoVAgQJ6U1MVXOaj8PK2l7WJ3RER9xtqwdhxkhw/edit?usp=sharing"",""เพชรบุรี!J28"")"),0)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IFERROR(__xludf.DUMMYFUNCTION("IMPORTRANGE(""https://docs.google.com/spreadsheets/d/1SX6NBoVAgQJ6U1MVXOaj8PK2l7WJ3RER9xtqwdhxkhw/edit?usp=sharing"",""เพชรบุรี!J29"")"),0)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IFERROR(__xludf.DUMMYFUNCTION("IMPORTRANGE(""https://docs.google.com/spreadsheets/d/1SX6NBoVAgQJ6U1MVXOaj8PK2l7WJ3RER9xtqwdhxkhw/edit?usp=sharing"",""เพชรบุรี!J30"")"),0)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IFERROR(__xludf.DUMMYFUNCTION("IMPORTRANGE(""https://docs.google.com/spreadsheets/d/1Yj_ptqi66GCucihVvJfMjLAmec39IyEx_6qawtMGysU/edit?usp=sharing"",""สบก!AR71"")"),0)</f>
        <v>0</v>
      </c>
      <c r="N98" s="169">
        <f ca="1">IFERROR(__xludf.DUMMYFUNCTION("IMPORTRANGE(""https://docs.google.com/spreadsheets/d/1Yj_ptqi66GCucihVvJfMjLAmec39IyEx_6qawtMGysU/edit?usp=sharing"",""สบก!AS71"")"),0)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IFERROR(__xludf.DUMMYFUNCTION("IMPORTRANGE(""https://docs.google.com/spreadsheets/d/1Yj_ptqi66GCucihVvJfMjLAmec39IyEx_6qawtMGysU/edit?usp=sharing"",""สบก!AO71"")"),0)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IFERROR(__xludf.DUMMYFUNCTION("IMPORTRANGE(""https://docs.google.com/spreadsheets/d/1SX6NBoVAgQJ6U1MVXOaj8PK2l7WJ3RER9xtqwdhxkhw/edit?usp=sharing"",""เพชรบุรี!J39"")"),0)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IFERROR(__xludf.DUMMYFUNCTION("IMPORTRANGE(""https://docs.google.com/spreadsheets/d/1SX6NBoVAgQJ6U1MVXOaj8PK2l7WJ3RER9xtqwdhxkhw/edit?usp=sharing"",""เพชรบุรี!J40"")"),0)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IFERROR(__xludf.DUMMYFUNCTION("IMPORTRANGE(""https://docs.google.com/spreadsheets/d/1SX6NBoVAgQJ6U1MVXOaj8PK2l7WJ3RER9xtqwdhxkhw/edit?usp=sharing"",""เพชรบุรี!J41"")"),0)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IFERROR(__xludf.DUMMYFUNCTION("IMPORTRANGE(""https://docs.google.com/spreadsheets/d/1SX6NBoVAgQJ6U1MVXOaj8PK2l7WJ3RER9xtqwdhxkhw/edit?usp=sharing"",""เพชรบุรี!J42"")"),0)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IFERROR(__xludf.DUMMYFUNCTION("IMPORTRANGE(""https://docs.google.com/spreadsheets/d/1SX6NBoVAgQJ6U1MVXOaj8PK2l7WJ3RER9xtqwdhxkhw/edit?usp=sharing"",""เพชรบุรี!I43"")"),0)</f>
        <v>0</v>
      </c>
      <c r="J108" s="204">
        <f ca="1">IFERROR(__xludf.DUMMYFUNCTION("IMPORTRANGE(""https://docs.google.com/spreadsheets/d/1SX6NBoVAgQJ6U1MVXOaj8PK2l7WJ3RER9xtqwdhxkhw/edit?usp=sharing"",""เพชรบุรี!J43"")"),0)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IFERROR(__xludf.DUMMYFUNCTION("IMPORTRANGE(""https://docs.google.com/spreadsheets/d/1SX6NBoVAgQJ6U1MVXOaj8PK2l7WJ3RER9xtqwdhxkhw/edit?usp=sharing"",""เพชรบุรี!I44"")"),0)</f>
        <v>0</v>
      </c>
      <c r="J109" s="204">
        <f ca="1">IFERROR(__xludf.DUMMYFUNCTION("IMPORTRANGE(""https://docs.google.com/spreadsheets/d/1SX6NBoVAgQJ6U1MVXOaj8PK2l7WJ3RER9xtqwdhxkhw/edit?usp=sharing"",""เพชรบุรี!J44"")"),0)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IFERROR(__xludf.DUMMYFUNCTION("IMPORTRANGE(""https://docs.google.com/spreadsheets/d/1SX6NBoVAgQJ6U1MVXOaj8PK2l7WJ3RER9xtqwdhxkhw/edit?usp=sharing"",""เพชรบุรี!I45"")"),0)</f>
        <v>0</v>
      </c>
      <c r="J110" s="204">
        <f ca="1">IFERROR(__xludf.DUMMYFUNCTION("IMPORTRANGE(""https://docs.google.com/spreadsheets/d/1SX6NBoVAgQJ6U1MVXOaj8PK2l7WJ3RER9xtqwdhxkhw/edit?usp=sharing"",""เพชรบุรี!J45"")"),0)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IFERROR(__xludf.DUMMYFUNCTION("IMPORTRANGE(""https://docs.google.com/spreadsheets/d/1SX6NBoVAgQJ6U1MVXOaj8PK2l7WJ3RER9xtqwdhxkhw/edit?usp=sharing"",""เพชรบุรี!I46"")"),0)</f>
        <v>0</v>
      </c>
      <c r="J111" s="204">
        <f ca="1">IFERROR(__xludf.DUMMYFUNCTION("IMPORTRANGE(""https://docs.google.com/spreadsheets/d/1SX6NBoVAgQJ6U1MVXOaj8PK2l7WJ3RER9xtqwdhxkhw/edit?usp=sharing"",""เพชรบุรี!J46"")"),0)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IFERROR(__xludf.DUMMYFUNCTION("IMPORTRANGE(""https://docs.google.com/spreadsheets/d/1SX6NBoVAgQJ6U1MVXOaj8PK2l7WJ3RER9xtqwdhxkhw/edit?usp=sharing"",""เพชรบุรี!I47"")"),0)</f>
        <v>0</v>
      </c>
      <c r="J112" s="204">
        <f ca="1">IFERROR(__xludf.DUMMYFUNCTION("IMPORTRANGE(""https://docs.google.com/spreadsheets/d/1SX6NBoVAgQJ6U1MVXOaj8PK2l7WJ3RER9xtqwdhxkhw/edit?usp=sharing"",""เพชรบุรี!J47"")"),0)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IFERROR(__xludf.DUMMYFUNCTION("IMPORTRANGE(""https://docs.google.com/spreadsheets/d/1SX6NBoVAgQJ6U1MVXOaj8PK2l7WJ3RER9xtqwdhxkhw/edit?usp=sharing"",""เพชรบุรี!I48"")"),0)</f>
        <v>0</v>
      </c>
      <c r="J113" s="204">
        <f ca="1">IFERROR(__xludf.DUMMYFUNCTION("IMPORTRANGE(""https://docs.google.com/spreadsheets/d/1SX6NBoVAgQJ6U1MVXOaj8PK2l7WJ3RER9xtqwdhxkhw/edit?usp=sharing"",""เพชรบุรี!J48"")"),0)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IFERROR(__xludf.DUMMYFUNCTION("IMPORTRANGE(""https://docs.google.com/spreadsheets/d/1SX6NBoVAgQJ6U1MVXOaj8PK2l7WJ3RER9xtqwdhxkhw/edit?usp=sharing"",""เพชรบุรี!J49"")"),0)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IFERROR(__xludf.DUMMYFUNCTION("IMPORTRANGE(""https://docs.google.com/spreadsheets/d/1SX6NBoVAgQJ6U1MVXOaj8PK2l7WJ3RER9xtqwdhxkhw/edit?usp=sharing"",""เพชรบุรี!J50"")"),0)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IFERROR(__xludf.DUMMYFUNCTION("IMPORTRANGE(""https://docs.google.com/spreadsheets/d/1Yj_ptqi66GCucihVvJfMjLAmec39IyEx_6qawtMGysU/edit?usp=sharing"",""สบก!BA71"")"),0)</f>
        <v>0</v>
      </c>
      <c r="N122" s="169">
        <f ca="1">IFERROR(__xludf.DUMMYFUNCTION("IMPORTRANGE(""https://docs.google.com/spreadsheets/d/1Yj_ptqi66GCucihVvJfMjLAmec39IyEx_6qawtMGysU/edit?usp=sharing"",""สบก!BB71"")"),0)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IFERROR(__xludf.DUMMYFUNCTION("IMPORTRANGE(""https://docs.google.com/spreadsheets/d/1Yj_ptqi66GCucihVvJfMjLAmec39IyEx_6qawtMGysU/edit?usp=sharing"",""สบก!AX71"")"),0)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IFERROR(__xludf.DUMMYFUNCTION("IMPORTRANGE(""https://docs.google.com/spreadsheets/d/1SX6NBoVAgQJ6U1MVXOaj8PK2l7WJ3RER9xtqwdhxkhw/edit?usp=sharing"",""เพชรบุรี!J58"")"),0)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IFERROR(__xludf.DUMMYFUNCTION("IMPORTRANGE(""https://docs.google.com/spreadsheets/d/1SX6NBoVAgQJ6U1MVXOaj8PK2l7WJ3RER9xtqwdhxkhw/edit?usp=sharing"",""เพชรบุรี!J59"")"),0)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IFERROR(__xludf.DUMMYFUNCTION("IMPORTRANGE(""https://docs.google.com/spreadsheets/d/1SX6NBoVAgQJ6U1MVXOaj8PK2l7WJ3RER9xtqwdhxkhw/edit?usp=sharing"",""เพชรบุรี!J60"")"),0)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IFERROR(__xludf.DUMMYFUNCTION("IMPORTRANGE(""https://docs.google.com/spreadsheets/d/1SX6NBoVAgQJ6U1MVXOaj8PK2l7WJ3RER9xtqwdhxkhw/edit?usp=sharing"",""เพชรบุรี!J61"")"),0)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IFERROR(__xludf.DUMMYFUNCTION("IMPORTRANGE(""https://docs.google.com/spreadsheets/d/1SX6NBoVAgQJ6U1MVXOaj8PK2l7WJ3RER9xtqwdhxkhw/edit?usp=sharing"",""เพชรบุรี!I62"")"),0)</f>
        <v>0</v>
      </c>
      <c r="J132" s="204">
        <f ca="1">IFERROR(__xludf.DUMMYFUNCTION("IMPORTRANGE(""https://docs.google.com/spreadsheets/d/1SX6NBoVAgQJ6U1MVXOaj8PK2l7WJ3RER9xtqwdhxkhw/edit?usp=sharing"",""เพชรบุรี!J62"")"),0)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IFERROR(__xludf.DUMMYFUNCTION("IMPORTRANGE(""https://docs.google.com/spreadsheets/d/1SX6NBoVAgQJ6U1MVXOaj8PK2l7WJ3RER9xtqwdhxkhw/edit?usp=sharing"",""เพชรบุรี!I63"")"),0)</f>
        <v>0</v>
      </c>
      <c r="J133" s="204">
        <f ca="1">IFERROR(__xludf.DUMMYFUNCTION("IMPORTRANGE(""https://docs.google.com/spreadsheets/d/1SX6NBoVAgQJ6U1MVXOaj8PK2l7WJ3RER9xtqwdhxkhw/edit?usp=sharing"",""เพชรบุรี!J63"")"),0)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IFERROR(__xludf.DUMMYFUNCTION("IMPORTRANGE(""https://docs.google.com/spreadsheets/d/1SX6NBoVAgQJ6U1MVXOaj8PK2l7WJ3RER9xtqwdhxkhw/edit?usp=sharing"",""เพชรบุรี!J64"")"),0)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IFERROR(__xludf.DUMMYFUNCTION("IMPORTRANGE(""https://docs.google.com/spreadsheets/d/1SX6NBoVAgQJ6U1MVXOaj8PK2l7WJ3RER9xtqwdhxkhw/edit?usp=sharing"",""เพชรบุรี!J65"")"),0)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IFERROR(__xludf.DUMMYFUNCTION("IMPORTRANGE(""https://docs.google.com/spreadsheets/d/1SX6NBoVAgQJ6U1MVXOaj8PK2l7WJ3RER9xtqwdhxkhw/edit?usp=sharing"",""เพชรบุรี!I68"")"),0)</f>
        <v>0</v>
      </c>
      <c r="J138" s="268">
        <f ca="1">IFERROR(__xludf.DUMMYFUNCTION("IMPORTRANGE(""https://docs.google.com/spreadsheets/d/1SX6NBoVAgQJ6U1MVXOaj8PK2l7WJ3RER9xtqwdhxkhw/edit?usp=sharing"",""เพชรบุรี!J68"")"),0)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50000</v>
      </c>
      <c r="M140" s="152">
        <f t="shared" ca="1" si="64"/>
        <v>41625</v>
      </c>
      <c r="N140" s="152">
        <f t="shared" ca="1" si="64"/>
        <v>35235</v>
      </c>
      <c r="O140" s="151">
        <f t="shared" ref="O140:O142" ca="1" si="65">IF(L140&gt;0,N140*100/L140,0)</f>
        <v>70.47</v>
      </c>
      <c r="P140" s="151">
        <f t="shared" ref="P140:P142" ca="1" si="66">IF(M140&gt;0,N140*100/M140,0)</f>
        <v>84.648648648648646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50000</v>
      </c>
      <c r="M142" s="157">
        <f t="shared" ca="1" si="68"/>
        <v>41625</v>
      </c>
      <c r="N142" s="157">
        <f t="shared" ca="1" si="68"/>
        <v>35235</v>
      </c>
      <c r="O142" s="156">
        <f t="shared" ca="1" si="65"/>
        <v>70.47</v>
      </c>
      <c r="P142" s="156">
        <f t="shared" ca="1" si="66"/>
        <v>84.648648648648646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50000</v>
      </c>
      <c r="M144" s="168">
        <f ca="1">IFERROR(__xludf.DUMMYFUNCTION("IMPORTRANGE(""https://docs.google.com/spreadsheets/d/1Yj_ptqi66GCucihVvJfMjLAmec39IyEx_6qawtMGysU/edit?usp=sharing"",""สบก!BJ71"")"),41625)</f>
        <v>41625</v>
      </c>
      <c r="N144" s="169">
        <f ca="1">IFERROR(__xludf.DUMMYFUNCTION("IMPORTRANGE(""https://docs.google.com/spreadsheets/d/1Yj_ptqi66GCucihVvJfMjLAmec39IyEx_6qawtMGysU/edit?usp=sharing"",""สบก!BK71"")"),35235)</f>
        <v>35235</v>
      </c>
      <c r="O144" s="169">
        <f ca="1">IF(L144&gt;0,N144*100/L144,0)</f>
        <v>70.47</v>
      </c>
      <c r="P144" s="169">
        <f ca="1">IF(M144&gt;0,N144*100/M144,0)</f>
        <v>84.648648648648646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IFERROR(__xludf.DUMMYFUNCTION("IMPORTRANGE(""https://docs.google.com/spreadsheets/d/1Yj_ptqi66GCucihVvJfMjLAmec39IyEx_6qawtMGysU/edit?usp=sharing"",""สบก!BF71"")"),0)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IFERROR(__xludf.DUMMYFUNCTION("IMPORTRANGE(""https://docs.google.com/spreadsheets/d/1Yj_ptqi66GCucihVvJfMjLAmec39IyEx_6qawtMGysU/edit?usp=sharing"",""สบก!BG71"")"),50000)</f>
        <v>50000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IFERROR(__xludf.DUMMYFUNCTION("IMPORTRANGE(""https://docs.google.com/spreadsheets/d/1SX6NBoVAgQJ6U1MVXOaj8PK2l7WJ3RER9xtqwdhxkhw/edit?usp=sharing"",""เพชรบุรี!I74"")"),4)</f>
        <v>4</v>
      </c>
      <c r="J149" s="276">
        <f ca="1">IFERROR(__xludf.DUMMYFUNCTION("IMPORTRANGE(""https://docs.google.com/spreadsheets/d/1SX6NBoVAgQJ6U1MVXOaj8PK2l7WJ3RER9xtqwdhxkhw/edit?usp=sharing"",""เพชรบุรี!J74"")"),3)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IFERROR(__xludf.DUMMYFUNCTION("IMPORTRANGE(""https://docs.google.com/spreadsheets/d/1SX6NBoVAgQJ6U1MVXOaj8PK2l7WJ3RER9xtqwdhxkhw/edit?usp=sharing"",""เพชรบุรี!J79"")"),0)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IFERROR(__xludf.DUMMYFUNCTION("IMPORTRANGE(""https://docs.google.com/spreadsheets/d/1SX6NBoVAgQJ6U1MVXOaj8PK2l7WJ3RER9xtqwdhxkhw/edit?usp=sharing"",""เพชรบุรี!J80"")"),1)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IFERROR(__xludf.DUMMYFUNCTION("IMPORTRANGE(""https://docs.google.com/spreadsheets/d/1SX6NBoVAgQJ6U1MVXOaj8PK2l7WJ3RER9xtqwdhxkhw/edit?usp=sharing"",""เพชรบุรี!J81"")"),1)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IFERROR(__xludf.DUMMYFUNCTION("IMPORTRANGE(""https://docs.google.com/spreadsheets/d/1SX6NBoVAgQJ6U1MVXOaj8PK2l7WJ3RER9xtqwdhxkhw/edit?usp=sharing"",""เพชรบุรี!J82"")"),1)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IFERROR(__xludf.DUMMYFUNCTION("IMPORTRANGE(""https://docs.google.com/spreadsheets/d/1SX6NBoVAgQJ6U1MVXOaj8PK2l7WJ3RER9xtqwdhxkhw/edit?usp=sharing"",""เพชรบุรี!I83"")"),4)</f>
        <v>4</v>
      </c>
      <c r="J158" s="189">
        <f ca="1">IFERROR(__xludf.DUMMYFUNCTION("IMPORTRANGE(""https://docs.google.com/spreadsheets/d/1SX6NBoVAgQJ6U1MVXOaj8PK2l7WJ3RER9xtqwdhxkhw/edit?usp=sharing"",""เพชรบุรี!J83"")"),3)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IFERROR(__xludf.DUMMYFUNCTION("IMPORTRANGE(""https://docs.google.com/spreadsheets/d/1SX6NBoVAgQJ6U1MVXOaj8PK2l7WJ3RER9xtqwdhxkhw/edit?usp=sharing"",""เพชรบุรี!J84"")"),130)</f>
        <v>130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IFERROR(__xludf.DUMMYFUNCTION("IMPORTRANGE(""https://docs.google.com/spreadsheets/d/1SX6NBoVAgQJ6U1MVXOaj8PK2l7WJ3RER9xtqwdhxkhw/edit?usp=sharing"",""เพชรบุรี!J85"")"),130)</f>
        <v>130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IFERROR(__xludf.DUMMYFUNCTION("IMPORTRANGE(""https://docs.google.com/spreadsheets/d/1SX6NBoVAgQJ6U1MVXOaj8PK2l7WJ3RER9xtqwdhxkhw/edit?usp=sharing"",""เพชรบุรี!J86"")"),0)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IFERROR(__xludf.DUMMYFUNCTION("IMPORTRANGE(""https://docs.google.com/spreadsheets/d/1SX6NBoVAgQJ6U1MVXOaj8PK2l7WJ3RER9xtqwdhxkhw/edit?usp=sharing"",""เพชรบุรี!J87"")"),0)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IFERROR(__xludf.DUMMYFUNCTION("IMPORTRANGE(""https://docs.google.com/spreadsheets/d/1SX6NBoVAgQJ6U1MVXOaj8PK2l7WJ3RER9xtqwdhxkhw/edit?usp=sharing"",""เพชรบุรี!J88"")"),0)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IFERROR(__xludf.DUMMYFUNCTION("IMPORTRANGE(""https://docs.google.com/spreadsheets/d/1SX6NBoVAgQJ6U1MVXOaj8PK2l7WJ3RER9xtqwdhxkhw/edit?usp=sharing"",""เพชรบุรี!I89"")"),2)</f>
        <v>2</v>
      </c>
      <c r="J164" s="285">
        <f ca="1">IFERROR(__xludf.DUMMYFUNCTION("IMPORTRANGE(""https://docs.google.com/spreadsheets/d/1SX6NBoVAgQJ6U1MVXOaj8PK2l7WJ3RER9xtqwdhxkhw/edit?usp=sharing"",""เพชรบุรี!J89"")"),2)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IFERROR(__xludf.DUMMYFUNCTION("IMPORTRANGE(""https://docs.google.com/spreadsheets/d/1SX6NBoVAgQJ6U1MVXOaj8PK2l7WJ3RER9xtqwdhxkhw/edit?usp=sharing"",""เพชรบุรี!J94"")"),0)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IFERROR(__xludf.DUMMYFUNCTION("IMPORTRANGE(""https://docs.google.com/spreadsheets/d/1SX6NBoVAgQJ6U1MVXOaj8PK2l7WJ3RER9xtqwdhxkhw/edit?usp=sharing"",""เพชรบุรี!J95"")"),1)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IFERROR(__xludf.DUMMYFUNCTION("IMPORTRANGE(""https://docs.google.com/spreadsheets/d/1SX6NBoVAgQJ6U1MVXOaj8PK2l7WJ3RER9xtqwdhxkhw/edit?usp=sharing"",""เพชรบุรี!J96"")"),1)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IFERROR(__xludf.DUMMYFUNCTION("IMPORTRANGE(""https://docs.google.com/spreadsheets/d/1SX6NBoVAgQJ6U1MVXOaj8PK2l7WJ3RER9xtqwdhxkhw/edit?usp=sharing"",""เพชรบุรี!J97"")"),1)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IFERROR(__xludf.DUMMYFUNCTION("IMPORTRANGE(""https://docs.google.com/spreadsheets/d/1SX6NBoVAgQJ6U1MVXOaj8PK2l7WJ3RER9xtqwdhxkhw/edit?usp=sharing"",""เพชรบุรี!I98"")"),2)</f>
        <v>2</v>
      </c>
      <c r="J173" s="189">
        <f ca="1">IFERROR(__xludf.DUMMYFUNCTION("IMPORTRANGE(""https://docs.google.com/spreadsheets/d/1SX6NBoVAgQJ6U1MVXOaj8PK2l7WJ3RER9xtqwdhxkhw/edit?usp=sharing"",""เพชรบุรี!J98"")"),2)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IFERROR(__xludf.DUMMYFUNCTION("IMPORTRANGE(""https://docs.google.com/spreadsheets/d/1SX6NBoVAgQJ6U1MVXOaj8PK2l7WJ3RER9xtqwdhxkhw/edit?usp=sharing"",""เพชรบุรี!J99"")"),0)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IFERROR(__xludf.DUMMYFUNCTION("IMPORTRANGE(""https://docs.google.com/spreadsheets/d/1SX6NBoVAgQJ6U1MVXOaj8PK2l7WJ3RER9xtqwdhxkhw/edit?usp=sharing"",""เพชรบุรี!J100"")"),0)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IFERROR(__xludf.DUMMYFUNCTION("IMPORTRANGE(""https://docs.google.com/spreadsheets/d/1SX6NBoVAgQJ6U1MVXOaj8PK2l7WJ3RER9xtqwdhxkhw/edit?usp=sharing"",""เพชรบุรี!I101"")"),0)</f>
        <v>0</v>
      </c>
      <c r="J176" s="285">
        <f ca="1">IFERROR(__xludf.DUMMYFUNCTION("IMPORTRANGE(""https://docs.google.com/spreadsheets/d/1SX6NBoVAgQJ6U1MVXOaj8PK2l7WJ3RER9xtqwdhxkhw/edit?usp=sharing"",""เพชรบุรี!J101"")"),0)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IFERROR(__xludf.DUMMYFUNCTION("IMPORTRANGE(""https://docs.google.com/spreadsheets/d/1SX6NBoVAgQJ6U1MVXOaj8PK2l7WJ3RER9xtqwdhxkhw/edit?usp=sharing"",""เพชรบุรี!J106"")"),0)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IFERROR(__xludf.DUMMYFUNCTION("IMPORTRANGE(""https://docs.google.com/spreadsheets/d/1SX6NBoVAgQJ6U1MVXOaj8PK2l7WJ3RER9xtqwdhxkhw/edit?usp=sharing"",""เพชรบุรี!J107"")"),0)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IFERROR(__xludf.DUMMYFUNCTION("IMPORTRANGE(""https://docs.google.com/spreadsheets/d/1SX6NBoVAgQJ6U1MVXOaj8PK2l7WJ3RER9xtqwdhxkhw/edit?usp=sharing"",""เพชรบุรี!J108"")"),0)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IFERROR(__xludf.DUMMYFUNCTION("IMPORTRANGE(""https://docs.google.com/spreadsheets/d/1SX6NBoVAgQJ6U1MVXOaj8PK2l7WJ3RER9xtqwdhxkhw/edit?usp=sharing"",""เพชรบุรี!J109"")"),0)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IFERROR(__xludf.DUMMYFUNCTION("IMPORTRANGE(""https://docs.google.com/spreadsheets/d/1SX6NBoVAgQJ6U1MVXOaj8PK2l7WJ3RER9xtqwdhxkhw/edit?usp=sharing"",""เพชรบุรี!I110"")"),0)</f>
        <v>0</v>
      </c>
      <c r="J185" s="204">
        <f ca="1">IFERROR(__xludf.DUMMYFUNCTION("IMPORTRANGE(""https://docs.google.com/spreadsheets/d/1SX6NBoVAgQJ6U1MVXOaj8PK2l7WJ3RER9xtqwdhxkhw/edit?usp=sharing"",""เพชรบุรี!J110"")"),0)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IFERROR(__xludf.DUMMYFUNCTION("IMPORTRANGE(""https://docs.google.com/spreadsheets/d/1SX6NBoVAgQJ6U1MVXOaj8PK2l7WJ3RER9xtqwdhxkhw/edit?usp=sharing"",""เพชรบุรี!I111"")"),0)</f>
        <v>0</v>
      </c>
      <c r="J186" s="204">
        <f ca="1">IFERROR(__xludf.DUMMYFUNCTION("IMPORTRANGE(""https://docs.google.com/spreadsheets/d/1SX6NBoVAgQJ6U1MVXOaj8PK2l7WJ3RER9xtqwdhxkhw/edit?usp=sharing"",""เพชรบุรี!J111"")"),0)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IFERROR(__xludf.DUMMYFUNCTION("IMPORTRANGE(""https://docs.google.com/spreadsheets/d/1SX6NBoVAgQJ6U1MVXOaj8PK2l7WJ3RER9xtqwdhxkhw/edit?usp=sharing"",""เพชรบุรี!J112"")"),0)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IFERROR(__xludf.DUMMYFUNCTION("IMPORTRANGE(""https://docs.google.com/spreadsheets/d/1SX6NBoVAgQJ6U1MVXOaj8PK2l7WJ3RER9xtqwdhxkhw/edit?usp=sharing"",""เพชรบุรี!J113"")"),0)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IFERROR(__xludf.DUMMYFUNCTION("IMPORTRANGE(""https://docs.google.com/spreadsheets/d/1SX6NBoVAgQJ6U1MVXOaj8PK2l7WJ3RER9xtqwdhxkhw/edit?usp=sharing"",""เพชรบุรี!I114"")"),30000)</f>
        <v>30000</v>
      </c>
      <c r="J189" s="285">
        <f ca="1">IFERROR(__xludf.DUMMYFUNCTION("IMPORTRANGE(""https://docs.google.com/spreadsheets/d/1SX6NBoVAgQJ6U1MVXOaj8PK2l7WJ3RER9xtqwdhxkhw/edit?usp=sharing"",""เพชรบุรี!J114"")"),0)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IFERROR(__xludf.DUMMYFUNCTION("IMPORTRANGE(""https://docs.google.com/spreadsheets/d/1SX6NBoVAgQJ6U1MVXOaj8PK2l7WJ3RER9xtqwdhxkhw/edit?usp=sharing"",""เพชรบุรี!J119"")"),0)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IFERROR(__xludf.DUMMYFUNCTION("IMPORTRANGE(""https://docs.google.com/spreadsheets/d/1SX6NBoVAgQJ6U1MVXOaj8PK2l7WJ3RER9xtqwdhxkhw/edit?usp=sharing"",""เพชรบุรี!J120"")"),1)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IFERROR(__xludf.DUMMYFUNCTION("IMPORTRANGE(""https://docs.google.com/spreadsheets/d/1SX6NBoVAgQJ6U1MVXOaj8PK2l7WJ3RER9xtqwdhxkhw/edit?usp=sharing"",""เพชรบุรี!J121"")"),0)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IFERROR(__xludf.DUMMYFUNCTION("IMPORTRANGE(""https://docs.google.com/spreadsheets/d/1SX6NBoVAgQJ6U1MVXOaj8PK2l7WJ3RER9xtqwdhxkhw/edit?usp=sharing"",""เพชรบุรี!J122"")"),0)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IFERROR(__xludf.DUMMYFUNCTION("IMPORTRANGE(""https://docs.google.com/spreadsheets/d/1SX6NBoVAgQJ6U1MVXOaj8PK2l7WJ3RER9xtqwdhxkhw/edit?usp=sharing"",""เพชรบุรี!I124"")"),30000)</f>
        <v>30000</v>
      </c>
      <c r="J199" s="189">
        <f ca="1">IFERROR(__xludf.DUMMYFUNCTION("IMPORTRANGE(""https://docs.google.com/spreadsheets/d/1SX6NBoVAgQJ6U1MVXOaj8PK2l7WJ3RER9xtqwdhxkhw/edit?usp=sharing"",""เพชรบุรี!J124"")"),0)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IFERROR(__xludf.DUMMYFUNCTION("IMPORTRANGE(""https://docs.google.com/spreadsheets/d/1SX6NBoVAgQJ6U1MVXOaj8PK2l7WJ3RER9xtqwdhxkhw/edit?usp=sharing"",""เพชรบุรี!I125"")"),30000)</f>
        <v>30000</v>
      </c>
      <c r="J200" s="189">
        <f ca="1">IFERROR(__xludf.DUMMYFUNCTION("IMPORTRANGE(""https://docs.google.com/spreadsheets/d/1SX6NBoVAgQJ6U1MVXOaj8PK2l7WJ3RER9xtqwdhxkhw/edit?usp=sharing"",""เพชรบุรี!J125"")"),0)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IFERROR(__xludf.DUMMYFUNCTION("IMPORTRANGE(""https://docs.google.com/spreadsheets/d/1SX6NBoVAgQJ6U1MVXOaj8PK2l7WJ3RER9xtqwdhxkhw/edit?usp=sharing"",""เพชรบุรี!I126"")"),0)</f>
        <v>0</v>
      </c>
      <c r="J201" s="189">
        <f ca="1">IFERROR(__xludf.DUMMYFUNCTION("IMPORTRANGE(""https://docs.google.com/spreadsheets/d/1SX6NBoVAgQJ6U1MVXOaj8PK2l7WJ3RER9xtqwdhxkhw/edit?usp=sharing"",""เพชรบุรี!J126"")"),0)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IFERROR(__xludf.DUMMYFUNCTION("IMPORTRANGE(""https://docs.google.com/spreadsheets/d/1SX6NBoVAgQJ6U1MVXOaj8PK2l7WJ3RER9xtqwdhxkhw/edit?usp=sharing"",""เพชรบุรี!J127"")"),0)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IFERROR(__xludf.DUMMYFUNCTION("IMPORTRANGE(""https://docs.google.com/spreadsheets/d/1SX6NBoVAgQJ6U1MVXOaj8PK2l7WJ3RER9xtqwdhxkhw/edit?usp=sharing"",""เพชรบุรี!J128"")"),0)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IFERROR(__xludf.DUMMYFUNCTION("IMPORTRANGE(""https://docs.google.com/spreadsheets/d/1SX6NBoVAgQJ6U1MVXOaj8PK2l7WJ3RER9xtqwdhxkhw/edit?usp=sharing"",""เพชรบุรี!I129"")"),0)</f>
        <v>0</v>
      </c>
      <c r="J204" s="285">
        <f ca="1">IFERROR(__xludf.DUMMYFUNCTION("IMPORTRANGE(""https://docs.google.com/spreadsheets/d/1SX6NBoVAgQJ6U1MVXOaj8PK2l7WJ3RER9xtqwdhxkhw/edit?usp=sharing"",""เพชรบุรี!J129"")"),0)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IFERROR(__xludf.DUMMYFUNCTION("IMPORTRANGE(""https://docs.google.com/spreadsheets/d/1SX6NBoVAgQJ6U1MVXOaj8PK2l7WJ3RER9xtqwdhxkhw/edit?usp=sharing"",""เพชรบุรี!J134"")"),0)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IFERROR(__xludf.DUMMYFUNCTION("IMPORTRANGE(""https://docs.google.com/spreadsheets/d/1SX6NBoVAgQJ6U1MVXOaj8PK2l7WJ3RER9xtqwdhxkhw/edit?usp=sharing"",""เพชรบุรี!J135"")"),0)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IFERROR(__xludf.DUMMYFUNCTION("IMPORTRANGE(""https://docs.google.com/spreadsheets/d/1SX6NBoVAgQJ6U1MVXOaj8PK2l7WJ3RER9xtqwdhxkhw/edit?usp=sharing"",""เพชรบุรี!J136"")"),0)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IFERROR(__xludf.DUMMYFUNCTION("IMPORTRANGE(""https://docs.google.com/spreadsheets/d/1SX6NBoVAgQJ6U1MVXOaj8PK2l7WJ3RER9xtqwdhxkhw/edit?usp=sharing"",""เพชรบุรี!J137"")"),0)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IFERROR(__xludf.DUMMYFUNCTION("IMPORTRANGE(""https://docs.google.com/spreadsheets/d/1SX6NBoVAgQJ6U1MVXOaj8PK2l7WJ3RER9xtqwdhxkhw/edit?usp=sharing"",""เพชรบุรี!I138"")"),0)</f>
        <v>0</v>
      </c>
      <c r="J213" s="204">
        <f ca="1">IFERROR(__xludf.DUMMYFUNCTION("IMPORTRANGE(""https://docs.google.com/spreadsheets/d/1SX6NBoVAgQJ6U1MVXOaj8PK2l7WJ3RER9xtqwdhxkhw/edit?usp=sharing"",""เพชรบุรี!J138"")"),0)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IFERROR(__xludf.DUMMYFUNCTION("IMPORTRANGE(""https://docs.google.com/spreadsheets/d/1SX6NBoVAgQJ6U1MVXOaj8PK2l7WJ3RER9xtqwdhxkhw/edit?usp=sharing"",""เพชรบุรี!I140"")"),0)</f>
        <v>0</v>
      </c>
      <c r="J215" s="204">
        <f ca="1">IFERROR(__xludf.DUMMYFUNCTION("IMPORTRANGE(""https://docs.google.com/spreadsheets/d/1SX6NBoVAgQJ6U1MVXOaj8PK2l7WJ3RER9xtqwdhxkhw/edit?usp=sharing"",""เพชรบุรี!J140"")"),0)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IFERROR(__xludf.DUMMYFUNCTION("IMPORTRANGE(""https://docs.google.com/spreadsheets/d/1SX6NBoVAgQJ6U1MVXOaj8PK2l7WJ3RER9xtqwdhxkhw/edit?usp=sharing"",""เพชรบุรี!I141"")"),0)</f>
        <v>0</v>
      </c>
      <c r="J216" s="204">
        <f ca="1">IFERROR(__xludf.DUMMYFUNCTION("IMPORTRANGE(""https://docs.google.com/spreadsheets/d/1SX6NBoVAgQJ6U1MVXOaj8PK2l7WJ3RER9xtqwdhxkhw/edit?usp=sharing"",""เพชรบุรี!J141"")"),0)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IFERROR(__xludf.DUMMYFUNCTION("IMPORTRANGE(""https://docs.google.com/spreadsheets/d/1SX6NBoVAgQJ6U1MVXOaj8PK2l7WJ3RER9xtqwdhxkhw/edit?usp=sharing"",""เพชรบุรี!J142"")"),0)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IFERROR(__xludf.DUMMYFUNCTION("IMPORTRANGE(""https://docs.google.com/spreadsheets/d/1SX6NBoVAgQJ6U1MVXOaj8PK2l7WJ3RER9xtqwdhxkhw/edit?usp=sharing"",""เพชรบุรี!J143"")"),0)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IFERROR(__xludf.DUMMYFUNCTION("IMPORTRANGE(""https://docs.google.com/spreadsheets/d/1SX6NBoVAgQJ6U1MVXOaj8PK2l7WJ3RER9xtqwdhxkhw/edit?usp=sharing"",""เพชรบุรี!I144"")"),15)</f>
        <v>15</v>
      </c>
      <c r="J219" s="268">
        <f ca="1">IFERROR(__xludf.DUMMYFUNCTION("IMPORTRANGE(""https://docs.google.com/spreadsheets/d/1SX6NBoVAgQJ6U1MVXOaj8PK2l7WJ3RER9xtqwdhxkhw/edit?usp=sharing"",""เพชรบุรี!J144"")"),15)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IFERROR(__xludf.DUMMYFUNCTION("IMPORTRANGE(""https://docs.google.com/spreadsheets/d/1Yj_ptqi66GCucihVvJfMjLAmec39IyEx_6qawtMGysU/edit?usp=sharing"",""สบก!BS71"")"),21125)</f>
        <v>21125</v>
      </c>
      <c r="N224" s="169">
        <f ca="1">IFERROR(__xludf.DUMMYFUNCTION("IMPORTRANGE(""https://docs.google.com/spreadsheets/d/1Yj_ptqi66GCucihVvJfMjLAmec39IyEx_6qawtMGysU/edit?usp=sharing"",""สบก!BT71"")"),21125)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IFERROR(__xludf.DUMMYFUNCTION("IMPORTRANGE(""https://docs.google.com/spreadsheets/d/1Yj_ptqi66GCucihVvJfMjLAmec39IyEx_6qawtMGysU/edit?usp=sharing"",""สบก!BP71"")"),21125)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IFERROR(__xludf.DUMMYFUNCTION("IMPORTRANGE(""https://docs.google.com/spreadsheets/d/1SX6NBoVAgQJ6U1MVXOaj8PK2l7WJ3RER9xtqwdhxkhw/edit?usp=sharing"",""เพชรบุรี!I149"")"),15)</f>
        <v>15</v>
      </c>
      <c r="J229" s="268">
        <f ca="1">IFERROR(__xludf.DUMMYFUNCTION("IMPORTRANGE(""https://docs.google.com/spreadsheets/d/1SX6NBoVAgQJ6U1MVXOaj8PK2l7WJ3RER9xtqwdhxkhw/edit?usp=sharing"",""เพชรบุรี!J149"")"),15)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IFERROR(__xludf.DUMMYFUNCTION("IMPORTRANGE(""https://docs.google.com/spreadsheets/d/1SX6NBoVAgQJ6U1MVXOaj8PK2l7WJ3RER9xtqwdhxkhw/edit?usp=sharing"",""เพชรบุรี!J151"")"),0)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IFERROR(__xludf.DUMMYFUNCTION("IMPORTRANGE(""https://docs.google.com/spreadsheets/d/1SX6NBoVAgQJ6U1MVXOaj8PK2l7WJ3RER9xtqwdhxkhw/edit?usp=sharing"",""เพชรบุรี!J152"")"),1)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IFERROR(__xludf.DUMMYFUNCTION("IMPORTRANGE(""https://docs.google.com/spreadsheets/d/1SX6NBoVAgQJ6U1MVXOaj8PK2l7WJ3RER9xtqwdhxkhw/edit?usp=sharing"",""เพชรบุรี!J153"")"),1)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IFERROR(__xludf.DUMMYFUNCTION("IMPORTRANGE(""https://docs.google.com/spreadsheets/d/1SX6NBoVAgQJ6U1MVXOaj8PK2l7WJ3RER9xtqwdhxkhw/edit?usp=sharing"",""เพชรบุรี!J154"")"),1)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IFERROR(__xludf.DUMMYFUNCTION("IMPORTRANGE(""https://docs.google.com/spreadsheets/d/1SX6NBoVAgQJ6U1MVXOaj8PK2l7WJ3RER9xtqwdhxkhw/edit?usp=sharing"",""เพชรบุรี!I155"")"),15)</f>
        <v>15</v>
      </c>
      <c r="J235" s="189">
        <f ca="1">IFERROR(__xludf.DUMMYFUNCTION("IMPORTRANGE(""https://docs.google.com/spreadsheets/d/1SX6NBoVAgQJ6U1MVXOaj8PK2l7WJ3RER9xtqwdhxkhw/edit?usp=sharing"",""เพชรบุรี!J155"")"),15)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IFERROR(__xludf.DUMMYFUNCTION("IMPORTRANGE(""https://docs.google.com/spreadsheets/d/1SX6NBoVAgQJ6U1MVXOaj8PK2l7WJ3RER9xtqwdhxkhw/edit?usp=sharing"",""เพชรบุรี!J156"")"),0)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IFERROR(__xludf.DUMMYFUNCTION("IMPORTRANGE(""https://docs.google.com/spreadsheets/d/1SX6NBoVAgQJ6U1MVXOaj8PK2l7WJ3RER9xtqwdhxkhw/edit?usp=sharing"",""เพชรบุรี!J157"")"),0)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IFERROR(__xludf.DUMMYFUNCTION("IMPORTRANGE(""https://docs.google.com/spreadsheets/d/1SX6NBoVAgQJ6U1MVXOaj8PK2l7WJ3RER9xtqwdhxkhw/edit?usp=sharing"",""เพชรบุรี!I158"")"),0)</f>
        <v>0</v>
      </c>
      <c r="J238" s="268">
        <f ca="1">IFERROR(__xludf.DUMMYFUNCTION("IMPORTRANGE(""https://docs.google.com/spreadsheets/d/1SX6NBoVAgQJ6U1MVXOaj8PK2l7WJ3RER9xtqwdhxkhw/edit?usp=sharing"",""เพชรบุรี!J158"")"),0)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IFERROR(__xludf.DUMMYFUNCTION("IMPORTRANGE(""https://docs.google.com/spreadsheets/d/1SX6NBoVAgQJ6U1MVXOaj8PK2l7WJ3RER9xtqwdhxkhw/edit?usp=sharing"",""เพชรบุรี!J159"")"),"")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IFERROR(__xludf.DUMMYFUNCTION("IMPORTRANGE(""https://docs.google.com/spreadsheets/d/1SX6NBoVAgQJ6U1MVXOaj8PK2l7WJ3RER9xtqwdhxkhw/edit?usp=sharing"",""เพชรบุรี!J161"")"),0)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IFERROR(__xludf.DUMMYFUNCTION("IMPORTRANGE(""https://docs.google.com/spreadsheets/d/1SX6NBoVAgQJ6U1MVXOaj8PK2l7WJ3RER9xtqwdhxkhw/edit?usp=sharing"",""เพชรบุรี!J162"")"),0)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IFERROR(__xludf.DUMMYFUNCTION("IMPORTRANGE(""https://docs.google.com/spreadsheets/d/1SX6NBoVAgQJ6U1MVXOaj8PK2l7WJ3RER9xtqwdhxkhw/edit?usp=sharing"",""เพชรบุรี!J163"")"),0)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IFERROR(__xludf.DUMMYFUNCTION("IMPORTRANGE(""https://docs.google.com/spreadsheets/d/1SX6NBoVAgQJ6U1MVXOaj8PK2l7WJ3RER9xtqwdhxkhw/edit?usp=sharing"",""เพชรบุรี!I164"")"),0)</f>
        <v>0</v>
      </c>
      <c r="J244" s="188">
        <f ca="1">IFERROR(__xludf.DUMMYFUNCTION("IMPORTRANGE(""https://docs.google.com/spreadsheets/d/1SX6NBoVAgQJ6U1MVXOaj8PK2l7WJ3RER9xtqwdhxkhw/edit?usp=sharing"",""เพชรบุรี!J164"")"),0)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IFERROR(__xludf.DUMMYFUNCTION("IMPORTRANGE(""https://docs.google.com/spreadsheets/d/1SX6NBoVAgQJ6U1MVXOaj8PK2l7WJ3RER9xtqwdhxkhw/edit?usp=sharing"",""เพชรบุรี!J165"")"),0)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IFERROR(__xludf.DUMMYFUNCTION("IMPORTRANGE(""https://docs.google.com/spreadsheets/d/1SX6NBoVAgQJ6U1MVXOaj8PK2l7WJ3RER9xtqwdhxkhw/edit?usp=sharing"",""เพชรบุรี!J166"")"),0)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IFERROR(__xludf.DUMMYFUNCTION("IMPORTRANGE(""https://docs.google.com/spreadsheets/d/1SX6NBoVAgQJ6U1MVXOaj8PK2l7WJ3RER9xtqwdhxkhw/edit?usp=sharing"",""เพชรบุรี!I169"")"),0)</f>
        <v>0</v>
      </c>
      <c r="J249" s="317">
        <f ca="1">IFERROR(__xludf.DUMMYFUNCTION("IMPORTRANGE(""https://docs.google.com/spreadsheets/d/1SX6NBoVAgQJ6U1MVXOaj8PK2l7WJ3RER9xtqwdhxkhw/edit?usp=sharing"",""เพชรบุรี!J169"")"),0)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IFERROR(__xludf.DUMMYFUNCTION("IMPORTRANGE(""https://docs.google.com/spreadsheets/d/1Yj_ptqi66GCucihVvJfMjLAmec39IyEx_6qawtMGysU/edit?usp=sharing"",""สบก!CB71"")"),0)</f>
        <v>0</v>
      </c>
      <c r="N254" s="169">
        <f ca="1">IFERROR(__xludf.DUMMYFUNCTION("IMPORTRANGE(""https://docs.google.com/spreadsheets/d/1Yj_ptqi66GCucihVvJfMjLAmec39IyEx_6qawtMGysU/edit?usp=sharing"",""สบก!CC71"")"),0)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IFERROR(__xludf.DUMMYFUNCTION("IMPORTRANGE(""https://docs.google.com/spreadsheets/d/1Yj_ptqi66GCucihVvJfMjLAmec39IyEx_6qawtMGysU/edit?usp=sharing"",""สบก!BX71"")"),0)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IFERROR(__xludf.DUMMYFUNCTION("IMPORTRANGE(""https://docs.google.com/spreadsheets/d/1Yj_ptqi66GCucihVvJfMjLAmec39IyEx_6qawtMGysU/edit?usp=sharing"",""สบก!BY71"")"),0)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IFERROR(__xludf.DUMMYFUNCTION("IMPORTRANGE(""https://docs.google.com/spreadsheets/d/1SX6NBoVAgQJ6U1MVXOaj8PK2l7WJ3RER9xtqwdhxkhw/edit?usp=sharing"",""เพชรบุรี!J175"")"),0)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IFERROR(__xludf.DUMMYFUNCTION("IMPORTRANGE(""https://docs.google.com/spreadsheets/d/1SX6NBoVAgQJ6U1MVXOaj8PK2l7WJ3RER9xtqwdhxkhw/edit?usp=sharing"",""เพชรบุรี!J176"")"),0)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IFERROR(__xludf.DUMMYFUNCTION("IMPORTRANGE(""https://docs.google.com/spreadsheets/d/1SX6NBoVAgQJ6U1MVXOaj8PK2l7WJ3RER9xtqwdhxkhw/edit?usp=sharing"",""เพชรบุรี!J177"")"),0)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IFERROR(__xludf.DUMMYFUNCTION("IMPORTRANGE(""https://docs.google.com/spreadsheets/d/1SX6NBoVAgQJ6U1MVXOaj8PK2l7WJ3RER9xtqwdhxkhw/edit?usp=sharing"",""เพชรบุรี!J178"")"),0)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IFERROR(__xludf.DUMMYFUNCTION("IMPORTRANGE(""https://docs.google.com/spreadsheets/d/1SX6NBoVAgQJ6U1MVXOaj8PK2l7WJ3RER9xtqwdhxkhw/edit?usp=sharing"",""เพชรบุรี!I179"")"),0)</f>
        <v>0</v>
      </c>
      <c r="J264" s="189">
        <f ca="1">IFERROR(__xludf.DUMMYFUNCTION("IMPORTRANGE(""https://docs.google.com/spreadsheets/d/1SX6NBoVAgQJ6U1MVXOaj8PK2l7WJ3RER9xtqwdhxkhw/edit?usp=sharing"",""เพชรบุรี!J179"")"),0)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IFERROR(__xludf.DUMMYFUNCTION("IMPORTRANGE(""https://docs.google.com/spreadsheets/d/1SX6NBoVAgQJ6U1MVXOaj8PK2l7WJ3RER9xtqwdhxkhw/edit?usp=sharing"",""เพชรบุรี!I180"")"),0)</f>
        <v>0</v>
      </c>
      <c r="J265" s="189">
        <f ca="1">IFERROR(__xludf.DUMMYFUNCTION("IMPORTRANGE(""https://docs.google.com/spreadsheets/d/1SX6NBoVAgQJ6U1MVXOaj8PK2l7WJ3RER9xtqwdhxkhw/edit?usp=sharing"",""เพชรบุรี!J180"")"),0)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IFERROR(__xludf.DUMMYFUNCTION("IMPORTRANGE(""https://docs.google.com/spreadsheets/d/1SX6NBoVAgQJ6U1MVXOaj8PK2l7WJ3RER9xtqwdhxkhw/edit?usp=sharing"",""เพชรบุรี!I181"")"),0)</f>
        <v>0</v>
      </c>
      <c r="J266" s="189">
        <f ca="1">IFERROR(__xludf.DUMMYFUNCTION("IMPORTRANGE(""https://docs.google.com/spreadsheets/d/1SX6NBoVAgQJ6U1MVXOaj8PK2l7WJ3RER9xtqwdhxkhw/edit?usp=sharing"",""เพชรบุรี!J181"")"),0)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IFERROR(__xludf.DUMMYFUNCTION("IMPORTRANGE(""https://docs.google.com/spreadsheets/d/1SX6NBoVAgQJ6U1MVXOaj8PK2l7WJ3RER9xtqwdhxkhw/edit?usp=sharing"",""เพชรบุรี!I182"")"),0)</f>
        <v>0</v>
      </c>
      <c r="J267" s="189">
        <f ca="1">IFERROR(__xludf.DUMMYFUNCTION("IMPORTRANGE(""https://docs.google.com/spreadsheets/d/1SX6NBoVAgQJ6U1MVXOaj8PK2l7WJ3RER9xtqwdhxkhw/edit?usp=sharing"",""เพชรบุรี!J182"")"),0)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IFERROR(__xludf.DUMMYFUNCTION("IMPORTRANGE(""https://docs.google.com/spreadsheets/d/1SX6NBoVAgQJ6U1MVXOaj8PK2l7WJ3RER9xtqwdhxkhw/edit?usp=sharing"",""เพชรบุรี!J183"")"),0)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IFERROR(__xludf.DUMMYFUNCTION("IMPORTRANGE(""https://docs.google.com/spreadsheets/d/1SX6NBoVAgQJ6U1MVXOaj8PK2l7WJ3RER9xtqwdhxkhw/edit?usp=sharing"",""เพชรบุรี!J184"")"),0)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IFERROR(__xludf.DUMMYFUNCTION("IMPORTRANGE(""https://docs.google.com/spreadsheets/d/1SX6NBoVAgQJ6U1MVXOaj8PK2l7WJ3RER9xtqwdhxkhw/edit?usp=sharing"",""เพชรบุรี!I185"")"),0)</f>
        <v>0</v>
      </c>
      <c r="J270" s="317">
        <f ca="1">IFERROR(__xludf.DUMMYFUNCTION("IMPORTRANGE(""https://docs.google.com/spreadsheets/d/1SX6NBoVAgQJ6U1MVXOaj8PK2l7WJ3RER9xtqwdhxkhw/edit?usp=sharing"",""เพชรบุรี!J185"")"),0)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IFERROR(__xludf.DUMMYFUNCTION("IMPORTRANGE(""https://docs.google.com/spreadsheets/d/1Yj_ptqi66GCucihVvJfMjLAmec39IyEx_6qawtMGysU/edit?usp=sharing"",""สบก!CK71"")"),0)</f>
        <v>0</v>
      </c>
      <c r="N275" s="169">
        <f ca="1">IFERROR(__xludf.DUMMYFUNCTION("IMPORTRANGE(""https://docs.google.com/spreadsheets/d/1Yj_ptqi66GCucihVvJfMjLAmec39IyEx_6qawtMGysU/edit?usp=sharing"",""สบก!CL71"")"),0)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IFERROR(__xludf.DUMMYFUNCTION("IMPORTRANGE(""https://docs.google.com/spreadsheets/d/1Yj_ptqi66GCucihVvJfMjLAmec39IyEx_6qawtMGysU/edit?usp=sharing"",""สบก!CH71"")"),0)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IFERROR(__xludf.DUMMYFUNCTION("IMPORTRANGE(""https://docs.google.com/spreadsheets/d/1SX6NBoVAgQJ6U1MVXOaj8PK2l7WJ3RER9xtqwdhxkhw/edit?usp=sharing"",""เพชรบุรี!J191"")"),0)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IFERROR(__xludf.DUMMYFUNCTION("IMPORTRANGE(""https://docs.google.com/spreadsheets/d/1SX6NBoVAgQJ6U1MVXOaj8PK2l7WJ3RER9xtqwdhxkhw/edit?usp=sharing"",""เพชรบุรี!J192"")"),0)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IFERROR(__xludf.DUMMYFUNCTION("IMPORTRANGE(""https://docs.google.com/spreadsheets/d/1SX6NBoVAgQJ6U1MVXOaj8PK2l7WJ3RER9xtqwdhxkhw/edit?usp=sharing"",""เพชรบุรี!J193"")"),0)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IFERROR(__xludf.DUMMYFUNCTION("IMPORTRANGE(""https://docs.google.com/spreadsheets/d/1SX6NBoVAgQJ6U1MVXOaj8PK2l7WJ3RER9xtqwdhxkhw/edit?usp=sharing"",""เพชรบุรี!J194"")"),0)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IFERROR(__xludf.DUMMYFUNCTION("IMPORTRANGE(""https://docs.google.com/spreadsheets/d/1SX6NBoVAgQJ6U1MVXOaj8PK2l7WJ3RER9xtqwdhxkhw/edit?usp=sharing"",""เพชรบุรี!I195"")"),0)</f>
        <v>0</v>
      </c>
      <c r="J285" s="189">
        <f ca="1">IFERROR(__xludf.DUMMYFUNCTION("IMPORTRANGE(""https://docs.google.com/spreadsheets/d/1SX6NBoVAgQJ6U1MVXOaj8PK2l7WJ3RER9xtqwdhxkhw/edit?usp=sharing"",""เพชรบุรี!J195"")"),0)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IFERROR(__xludf.DUMMYFUNCTION("IMPORTRANGE(""https://docs.google.com/spreadsheets/d/1SX6NBoVAgQJ6U1MVXOaj8PK2l7WJ3RER9xtqwdhxkhw/edit?usp=sharing"",""เพชรบุรี!J196"")"),0)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IFERROR(__xludf.DUMMYFUNCTION("IMPORTRANGE(""https://docs.google.com/spreadsheets/d/1SX6NBoVAgQJ6U1MVXOaj8PK2l7WJ3RER9xtqwdhxkhw/edit?usp=sharing"",""เพชรบุรี!J197"")"),0)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IFERROR(__xludf.DUMMYFUNCTION("IMPORTRANGE(""https://docs.google.com/spreadsheets/d/1SX6NBoVAgQJ6U1MVXOaj8PK2l7WJ3RER9xtqwdhxkhw/edit?usp=sharing"",""เพชรบุรี!I199"")"),0)</f>
        <v>0</v>
      </c>
      <c r="J289" s="317">
        <f ca="1">IFERROR(__xludf.DUMMYFUNCTION("IMPORTRANGE(""https://docs.google.com/spreadsheets/d/1SX6NBoVAgQJ6U1MVXOaj8PK2l7WJ3RER9xtqwdhxkhw/edit?usp=sharing"",""เพชรบุรี!J199"")"),0)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IFERROR(__xludf.DUMMYFUNCTION("IMPORTRANGE(""https://docs.google.com/spreadsheets/d/1Yj_ptqi66GCucihVvJfMjLAmec39IyEx_6qawtMGysU/edit?usp=sharing"",""สบก!CT71"")"),0)</f>
        <v>0</v>
      </c>
      <c r="N294" s="169">
        <f ca="1">IFERROR(__xludf.DUMMYFUNCTION("IMPORTRANGE(""https://docs.google.com/spreadsheets/d/1Yj_ptqi66GCucihVvJfMjLAmec39IyEx_6qawtMGysU/edit?usp=sharing"",""สบก!CU71"")"),0)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IFERROR(__xludf.DUMMYFUNCTION("IMPORTRANGE(""https://docs.google.com/spreadsheets/d/1SX6NBoVAgQJ6U1MVXOaj8PK2l7WJ3RER9xtqwdhxkhw/edit?usp=sharing"",""เพชรบุรี!J205"")"),0)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IFERROR(__xludf.DUMMYFUNCTION("IMPORTRANGE(""https://docs.google.com/spreadsheets/d/1SX6NBoVAgQJ6U1MVXOaj8PK2l7WJ3RER9xtqwdhxkhw/edit?usp=sharing"",""เพชรบุรี!J206"")"),0)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IFERROR(__xludf.DUMMYFUNCTION("IMPORTRANGE(""https://docs.google.com/spreadsheets/d/1SX6NBoVAgQJ6U1MVXOaj8PK2l7WJ3RER9xtqwdhxkhw/edit?usp=sharing"",""เพชรบุรี!J207"")"),0)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IFERROR(__xludf.DUMMYFUNCTION("IMPORTRANGE(""https://docs.google.com/spreadsheets/d/1SX6NBoVAgQJ6U1MVXOaj8PK2l7WJ3RER9xtqwdhxkhw/edit?usp=sharing"",""เพชรบุรี!J208"")"),0)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IFERROR(__xludf.DUMMYFUNCTION("IMPORTRANGE(""https://docs.google.com/spreadsheets/d/1SX6NBoVAgQJ6U1MVXOaj8PK2l7WJ3RER9xtqwdhxkhw/edit?usp=sharing"",""เพชรบุรี!I209"")"),0)</f>
        <v>0</v>
      </c>
      <c r="J304" s="204">
        <f ca="1">IFERROR(__xludf.DUMMYFUNCTION("IMPORTRANGE(""https://docs.google.com/spreadsheets/d/1SX6NBoVAgQJ6U1MVXOaj8PK2l7WJ3RER9xtqwdhxkhw/edit?usp=sharing"",""เพชรบุรี!J209"")"),0)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IFERROR(__xludf.DUMMYFUNCTION("IMPORTRANGE(""https://docs.google.com/spreadsheets/d/1SX6NBoVAgQJ6U1MVXOaj8PK2l7WJ3RER9xtqwdhxkhw/edit?usp=sharing"",""เพชรบุรี!I211"")"),0)</f>
        <v>0</v>
      </c>
      <c r="J306" s="204">
        <f ca="1">IFERROR(__xludf.DUMMYFUNCTION("IMPORTRANGE(""https://docs.google.com/spreadsheets/d/1SX6NBoVAgQJ6U1MVXOaj8PK2l7WJ3RER9xtqwdhxkhw/edit?usp=sharing"",""เพชรบุรี!J211"")"),0)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IFERROR(__xludf.DUMMYFUNCTION("IMPORTRANGE(""https://docs.google.com/spreadsheets/d/1SX6NBoVAgQJ6U1MVXOaj8PK2l7WJ3RER9xtqwdhxkhw/edit?usp=sharing"",""เพชรบุรี!J212"")"),0)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IFERROR(__xludf.DUMMYFUNCTION("IMPORTRANGE(""https://docs.google.com/spreadsheets/d/1SX6NBoVAgQJ6U1MVXOaj8PK2l7WJ3RER9xtqwdhxkhw/edit?usp=sharing"",""เพชรบุรี!J213"")"),0)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IFERROR(__xludf.DUMMYFUNCTION("IMPORTRANGE(""https://docs.google.com/spreadsheets/d/1SX6NBoVAgQJ6U1MVXOaj8PK2l7WJ3RER9xtqwdhxkhw/edit?usp=sharing"",""เพชรบุรี!I214"")"),0)</f>
        <v>0</v>
      </c>
      <c r="J309" s="334">
        <f ca="1">IFERROR(__xludf.DUMMYFUNCTION("IMPORTRANGE(""https://docs.google.com/spreadsheets/d/1SX6NBoVAgQJ6U1MVXOaj8PK2l7WJ3RER9xtqwdhxkhw/edit?usp=sharing"",""เพชรบุรี!J214"")"),0)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IFERROR(__xludf.DUMMYFUNCTION("IMPORTRANGE(""https://docs.google.com/spreadsheets/d/1Yj_ptqi66GCucihVvJfMjLAmec39IyEx_6qawtMGysU/edit?usp=sharing"",""สบก!DC71"")"),0)</f>
        <v>0</v>
      </c>
      <c r="N314" s="169">
        <f ca="1">IFERROR(__xludf.DUMMYFUNCTION("IMPORTRANGE(""https://docs.google.com/spreadsheets/d/1Yj_ptqi66GCucihVvJfMjLAmec39IyEx_6qawtMGysU/edit?usp=sharing"",""สบก!DD71"")"),0)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IFERROR(__xludf.DUMMYFUNCTION("IMPORTRANGE(""https://docs.google.com/spreadsheets/d/1SX6NBoVAgQJ6U1MVXOaj8PK2l7WJ3RER9xtqwdhxkhw/edit?usp=sharing"",""เพชรบุรี!J220"")"),0)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IFERROR(__xludf.DUMMYFUNCTION("IMPORTRANGE(""https://docs.google.com/spreadsheets/d/1SX6NBoVAgQJ6U1MVXOaj8PK2l7WJ3RER9xtqwdhxkhw/edit?usp=sharing"",""เพชรบุรี!J221"")"),0)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IFERROR(__xludf.DUMMYFUNCTION("IMPORTRANGE(""https://docs.google.com/spreadsheets/d/1SX6NBoVAgQJ6U1MVXOaj8PK2l7WJ3RER9xtqwdhxkhw/edit?usp=sharing"",""เพชรบุรี!J222"")"),0)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IFERROR(__xludf.DUMMYFUNCTION("IMPORTRANGE(""https://docs.google.com/spreadsheets/d/1SX6NBoVAgQJ6U1MVXOaj8PK2l7WJ3RER9xtqwdhxkhw/edit?usp=sharing"",""เพชรบุรี!J223"")"),0)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IFERROR(__xludf.DUMMYFUNCTION("IMPORTRANGE(""https://docs.google.com/spreadsheets/d/1SX6NBoVAgQJ6U1MVXOaj8PK2l7WJ3RER9xtqwdhxkhw/edit?usp=sharing"",""เพชรบุรี!I224"")"),0)</f>
        <v>0</v>
      </c>
      <c r="J324" s="204">
        <f ca="1">IFERROR(__xludf.DUMMYFUNCTION("IMPORTRANGE(""https://docs.google.com/spreadsheets/d/1SX6NBoVAgQJ6U1MVXOaj8PK2l7WJ3RER9xtqwdhxkhw/edit?usp=sharing"",""เพชรบุรี!J224"")"),0)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IFERROR(__xludf.DUMMYFUNCTION("IMPORTRANGE(""https://docs.google.com/spreadsheets/d/1SX6NBoVAgQJ6U1MVXOaj8PK2l7WJ3RER9xtqwdhxkhw/edit?usp=sharing"",""เพชรบุรี!J225"")"),0)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IFERROR(__xludf.DUMMYFUNCTION("IMPORTRANGE(""https://docs.google.com/spreadsheets/d/1SX6NBoVAgQJ6U1MVXOaj8PK2l7WJ3RER9xtqwdhxkhw/edit?usp=sharing"",""เพชรบุรี!J226"")"),0)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IFERROR(__xludf.DUMMYFUNCTION("IMPORTRANGE(""https://docs.google.com/spreadsheets/d/1SX6NBoVAgQJ6U1MVXOaj8PK2l7WJ3RER9xtqwdhxkhw/edit?usp=sharing"",""เพชรบุรี!I228"")"),33)</f>
        <v>33</v>
      </c>
      <c r="J328" s="340">
        <f ca="1">IFERROR(__xludf.DUMMYFUNCTION("IMPORTRANGE(""https://docs.google.com/spreadsheets/d/1SX6NBoVAgQJ6U1MVXOaj8PK2l7WJ3RER9xtqwdhxkhw/edit?usp=sharing"",""เพชรบุรี!J228"")"),5)</f>
        <v>5</v>
      </c>
      <c r="K328" s="318">
        <f ca="1">IF(I328&gt;0,J328*100/I328,0)</f>
        <v>15.151515151515152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701880</v>
      </c>
      <c r="M329" s="152">
        <f t="shared" ca="1" si="98"/>
        <v>534520</v>
      </c>
      <c r="N329" s="152">
        <f t="shared" ca="1" si="98"/>
        <v>518928.8</v>
      </c>
      <c r="O329" s="151">
        <f t="shared" ref="O329:O331" ca="1" si="99">IF(L329&gt;0,N329*100/L329,0)</f>
        <v>73.934119792557127</v>
      </c>
      <c r="P329" s="151">
        <f t="shared" ref="P329:P331" ca="1" si="100">IF(M329&gt;0,N329*100/M329,0)</f>
        <v>97.083140013470029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701880</v>
      </c>
      <c r="M331" s="157">
        <f t="shared" ca="1" si="102"/>
        <v>534520</v>
      </c>
      <c r="N331" s="157">
        <f t="shared" ca="1" si="102"/>
        <v>518928.8</v>
      </c>
      <c r="O331" s="156">
        <f t="shared" ca="1" si="99"/>
        <v>73.934119792557127</v>
      </c>
      <c r="P331" s="156">
        <f t="shared" ca="1" si="100"/>
        <v>97.083140013470029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701880</v>
      </c>
      <c r="M333" s="168">
        <f ca="1">IFERROR(__xludf.DUMMYFUNCTION("IMPORTRANGE(""https://docs.google.com/spreadsheets/d/1Yj_ptqi66GCucihVvJfMjLAmec39IyEx_6qawtMGysU/edit?usp=sharing"",""สบก!DL71"")"),534520)</f>
        <v>534520</v>
      </c>
      <c r="N333" s="169">
        <f ca="1">IFERROR(__xludf.DUMMYFUNCTION("IMPORTRANGE(""https://docs.google.com/spreadsheets/d/1Yj_ptqi66GCucihVvJfMjLAmec39IyEx_6qawtMGysU/edit?usp=sharing"",""สบก!DM71"")"),518928.8)</f>
        <v>518928.8</v>
      </c>
      <c r="O333" s="169">
        <f ca="1">IF(L333&gt;0,N333*100/L333,0)</f>
        <v>73.934119792557127</v>
      </c>
      <c r="P333" s="169">
        <f ca="1">IF(M333&gt;0,N333*100/M333,0)</f>
        <v>97.083140013470029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IFERROR(__xludf.DUMMYFUNCTION("IMPORTRANGE(""https://docs.google.com/spreadsheets/d/1Yj_ptqi66GCucihVvJfMjLAmec39IyEx_6qawtMGysU/edit?usp=sharing"",""สบก!DH71"")"),493800)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IFERROR(__xludf.DUMMYFUNCTION("IMPORTRANGE(""https://docs.google.com/spreadsheets/d/1Yj_ptqi66GCucihVvJfMjLAmec39IyEx_6qawtMGysU/edit?usp=sharing"",""สบก!DI71"")"),208080)</f>
        <v>208080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IFERROR(__xludf.DUMMYFUNCTION("IMPORTRANGE(""https://docs.google.com/spreadsheets/d/1SX6NBoVAgQJ6U1MVXOaj8PK2l7WJ3RER9xtqwdhxkhw/edit?usp=sharing"",""เพชรบุรี!I234"")"),0)</f>
        <v>0</v>
      </c>
      <c r="J339" s="188">
        <f ca="1">IFERROR(__xludf.DUMMYFUNCTION("IMPORTRANGE(""https://docs.google.com/spreadsheets/d/1SX6NBoVAgQJ6U1MVXOaj8PK2l7WJ3RER9xtqwdhxkhw/edit?usp=sharing"",""เพชรบุรี!J234"")"),0)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IFERROR(__xludf.DUMMYFUNCTION("IMPORTRANGE(""https://docs.google.com/spreadsheets/d/1SX6NBoVAgQJ6U1MVXOaj8PK2l7WJ3RER9xtqwdhxkhw/edit?usp=sharing"",""เพชรบุรี!I235"")"),180)</f>
        <v>180</v>
      </c>
      <c r="J340" s="188">
        <f ca="1">IFERROR(__xludf.DUMMYFUNCTION("IMPORTRANGE(""https://docs.google.com/spreadsheets/d/1SX6NBoVAgQJ6U1MVXOaj8PK2l7WJ3RER9xtqwdhxkhw/edit?usp=sharing"",""เพชรบุรี!J235"")"),0)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IFERROR(__xludf.DUMMYFUNCTION("IMPORTRANGE(""https://docs.google.com/spreadsheets/d/1SX6NBoVAgQJ6U1MVXOaj8PK2l7WJ3RER9xtqwdhxkhw/edit?usp=sharing"",""เพชรบุรี!I236"")"),33)</f>
        <v>33</v>
      </c>
      <c r="J341" s="188">
        <f ca="1">IFERROR(__xludf.DUMMYFUNCTION("IMPORTRANGE(""https://docs.google.com/spreadsheets/d/1SX6NBoVAgQJ6U1MVXOaj8PK2l7WJ3RER9xtqwdhxkhw/edit?usp=sharing"",""เพชรบุรี!J236"")"),12)</f>
        <v>12</v>
      </c>
      <c r="K341" s="343">
        <f t="shared" ca="1" si="103"/>
        <v>36.363636363636367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8">
        <f ca="1">IFERROR(__xludf.DUMMYFUNCTION("IMPORTRANGE(""https://docs.google.com/spreadsheets/d/1SX6NBoVAgQJ6U1MVXOaj8PK2l7WJ3RER9xtqwdhxkhw/edit?usp=sharing"",""เพชรบุรี!J237"")"),112.49)</f>
        <v>112.49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IFERROR(__xludf.DUMMYFUNCTION("IMPORTRANGE(""https://docs.google.com/spreadsheets/d/1SX6NBoVAgQJ6U1MVXOaj8PK2l7WJ3RER9xtqwdhxkhw/edit?usp=sharing"",""เพชรบุรี!I238"")"),33)</f>
        <v>33</v>
      </c>
      <c r="J343" s="188">
        <f ca="1">IFERROR(__xludf.DUMMYFUNCTION("IMPORTRANGE(""https://docs.google.com/spreadsheets/d/1SX6NBoVAgQJ6U1MVXOaj8PK2l7WJ3RER9xtqwdhxkhw/edit?usp=sharing"",""เพชรบุรี!J238"")"),0)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8">
        <f ca="1">IFERROR(__xludf.DUMMYFUNCTION("IMPORTRANGE(""https://docs.google.com/spreadsheets/d/1SX6NBoVAgQJ6U1MVXOaj8PK2l7WJ3RER9xtqwdhxkhw/edit?usp=sharing"",""เพชรบุรี!J239"")"),0)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IFERROR(__xludf.DUMMYFUNCTION("IMPORTRANGE(""https://docs.google.com/spreadsheets/d/1SX6NBoVAgQJ6U1MVXOaj8PK2l7WJ3RER9xtqwdhxkhw/edit?usp=sharing"",""เพชรบุรี!I240"")"),33)</f>
        <v>33</v>
      </c>
      <c r="J345" s="188">
        <f ca="1">IFERROR(__xludf.DUMMYFUNCTION("IMPORTRANGE(""https://docs.google.com/spreadsheets/d/1SX6NBoVAgQJ6U1MVXOaj8PK2l7WJ3RER9xtqwdhxkhw/edit?usp=sharing"",""เพชรบุรี!J240"")"),5)</f>
        <v>5</v>
      </c>
      <c r="K345" s="343">
        <f t="shared" ca="1" si="103"/>
        <v>15.151515151515152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8">
        <f ca="1">IFERROR(__xludf.DUMMYFUNCTION("IMPORTRANGE(""https://docs.google.com/spreadsheets/d/1SX6NBoVAgQJ6U1MVXOaj8PK2l7WJ3RER9xtqwdhxkhw/edit?usp=sharing"",""เพชรบุรี!J241"")"),35.33)</f>
        <v>35.33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IFERROR(__xludf.DUMMYFUNCTION("IMPORTRANGE(""https://docs.google.com/spreadsheets/d/1SX6NBoVAgQJ6U1MVXOaj8PK2l7WJ3RER9xtqwdhxkhw/edit?usp=sharing"",""เพชรบุรี!L242"")"),850497)</f>
        <v>850497</v>
      </c>
      <c r="M347" s="358"/>
      <c r="N347" s="358">
        <f ca="1">IFERROR(__xludf.DUMMYFUNCTION("IMPORTRANGE(""https://docs.google.com/spreadsheets/d/1SX6NBoVAgQJ6U1MVXOaj8PK2l7WJ3RER9xtqwdhxkhw/edit?usp=sharing"",""เพชรบุรี!M242"")"),441652)</f>
        <v>441652</v>
      </c>
      <c r="O347" s="358">
        <f ca="1">+IF(L347&gt;0,N347*100/L347,0)</f>
        <v>51.928695809626603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IFERROR(__xludf.DUMMYFUNCTION("IMPORTRANGE(""https://docs.google.com/spreadsheets/d/1SX6NBoVAgQJ6U1MVXOaj8PK2l7WJ3RER9xtqwdhxkhw/edit?usp=sharing"",""เพชรบุรี!L246"")"),0)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IFERROR(__xludf.DUMMYFUNCTION("IMPORTRANGE(""https://docs.google.com/spreadsheets/d/1SX6NBoVAgQJ6U1MVXOaj8PK2l7WJ3RER9xtqwdhxkhw/edit?usp=sharing"",""เพชรบุรี!M246"")"),0)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IFERROR(__xludf.DUMMYFUNCTION("IMPORTRANGE(""https://docs.google.com/spreadsheets/d/1SX6NBoVAgQJ6U1MVXOaj8PK2l7WJ3RER9xtqwdhxkhw/edit?usp=sharing"",""เพชรบุรี!L247"")"),0)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IFERROR(__xludf.DUMMYFUNCTION("IMPORTRANGE(""https://docs.google.com/spreadsheets/d/1SX6NBoVAgQJ6U1MVXOaj8PK2l7WJ3RER9xtqwdhxkhw/edit?usp=sharing"",""เพชรบุรี!M247"")"),0)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IFERROR(__xludf.DUMMYFUNCTION("IMPORTRANGE(""https://docs.google.com/spreadsheets/d/1SX6NBoVAgQJ6U1MVXOaj8PK2l7WJ3RER9xtqwdhxkhw/edit?usp=sharing"",""เพชรบุรี!L248"")"),0)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IFERROR(__xludf.DUMMYFUNCTION("IMPORTRANGE(""https://docs.google.com/spreadsheets/d/1SX6NBoVAgQJ6U1MVXOaj8PK2l7WJ3RER9xtqwdhxkhw/edit?usp=sharing"",""เพชรบุรี!M248"")"),0)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IFERROR(__xludf.DUMMYFUNCTION("IMPORTRANGE(""https://docs.google.com/spreadsheets/d/1SX6NBoVAgQJ6U1MVXOaj8PK2l7WJ3RER9xtqwdhxkhw/edit?usp=sharing"",""เพชรบุรี!L249"")"),0)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IFERROR(__xludf.DUMMYFUNCTION("IMPORTRANGE(""https://docs.google.com/spreadsheets/d/1SX6NBoVAgQJ6U1MVXOaj8PK2l7WJ3RER9xtqwdhxkhw/edit?usp=sharing"",""เพชรบุรี!M249"")"),0)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IFERROR(__xludf.DUMMYFUNCTION("IMPORTRANGE(""https://docs.google.com/spreadsheets/d/1SX6NBoVAgQJ6U1MVXOaj8PK2l7WJ3RER9xtqwdhxkhw/edit?usp=sharing"",""เพชรบุรี!J255"")"),0)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IFERROR(__xludf.DUMMYFUNCTION("IMPORTRANGE(""https://docs.google.com/spreadsheets/d/1SX6NBoVAgQJ6U1MVXOaj8PK2l7WJ3RER9xtqwdhxkhw/edit?usp=sharing"",""เพชรบุรี!J256"")"),0)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IFERROR(__xludf.DUMMYFUNCTION("IMPORTRANGE(""https://docs.google.com/spreadsheets/d/1SX6NBoVAgQJ6U1MVXOaj8PK2l7WJ3RER9xtqwdhxkhw/edit?usp=sharing"",""เพชรบุรี!J257"")"),0)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IFERROR(__xludf.DUMMYFUNCTION("IMPORTRANGE(""https://docs.google.com/spreadsheets/d/1SX6NBoVAgQJ6U1MVXOaj8PK2l7WJ3RER9xtqwdhxkhw/edit?usp=sharing"",""เพชรบุรี!J258"")"),0)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IFERROR(__xludf.DUMMYFUNCTION("IMPORTRANGE(""https://docs.google.com/spreadsheets/d/1SX6NBoVAgQJ6U1MVXOaj8PK2l7WJ3RER9xtqwdhxkhw/edit?usp=sharing"",""เพชรบุรี!J166"")"),0)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IFERROR(__xludf.DUMMYFUNCTION("IMPORTRANGE(""https://docs.google.com/spreadsheets/d/1SX6NBoVAgQJ6U1MVXOaj8PK2l7WJ3RER9xtqwdhxkhw/edit?usp=sharing"",""เพชรบุรี!J166"")"),0)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IFERROR(__xludf.DUMMYFUNCTION("IMPORTRANGE(""https://docs.google.com/spreadsheets/d/1SX6NBoVAgQJ6U1MVXOaj8PK2l7WJ3RER9xtqwdhxkhw/edit?usp=sharing"",""เพชรบุรี!J166"")"),0)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IFERROR(__xludf.DUMMYFUNCTION("IMPORTRANGE(""https://docs.google.com/spreadsheets/d/1SX6NBoVAgQJ6U1MVXOaj8PK2l7WJ3RER9xtqwdhxkhw/edit?usp=sharing"",""เพชรบุรี!J166"")"),0)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IFERROR(__xludf.DUMMYFUNCTION("IMPORTRANGE(""https://docs.google.com/spreadsheets/d/1SX6NBoVAgQJ6U1MVXOaj8PK2l7WJ3RER9xtqwdhxkhw/edit?usp=sharing"",""เพชรบุรี!I263"")"),0)</f>
        <v>0</v>
      </c>
      <c r="J368" s="188">
        <f ca="1">IFERROR(__xludf.DUMMYFUNCTION("IMPORTRANGE(""https://docs.google.com/spreadsheets/d/1SX6NBoVAgQJ6U1MVXOaj8PK2l7WJ3RER9xtqwdhxkhw/edit?usp=sharing"",""เพชรบุรี!J263"")"),0)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IFERROR(__xludf.DUMMYFUNCTION("IMPORTRANGE(""https://docs.google.com/spreadsheets/d/1SX6NBoVAgQJ6U1MVXOaj8PK2l7WJ3RER9xtqwdhxkhw/edit?usp=sharing"",""เพชรบุรี!I164"")"),0)</f>
        <v>0</v>
      </c>
      <c r="J369" s="204">
        <f ca="1">IFERROR(__xludf.DUMMYFUNCTION("IMPORTRANGE(""https://docs.google.com/spreadsheets/d/1SX6NBoVAgQJ6U1MVXOaj8PK2l7WJ3RER9xtqwdhxkhw/edit?usp=sharing"",""เพชรบุรี!J164"")"),0)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IFERROR(__xludf.DUMMYFUNCTION("IMPORTRANGE(""https://docs.google.com/spreadsheets/d/1SX6NBoVAgQJ6U1MVXOaj8PK2l7WJ3RER9xtqwdhxkhw/edit?usp=sharing"",""เพชรบุรี!I265"")"),0)</f>
        <v>0</v>
      </c>
      <c r="J370" s="204">
        <f ca="1">IFERROR(__xludf.DUMMYFUNCTION("IMPORTRANGE(""https://docs.google.com/spreadsheets/d/1SX6NBoVAgQJ6U1MVXOaj8PK2l7WJ3RER9xtqwdhxkhw/edit?usp=sharing"",""เพชรบุรี!J265"")"),0)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IFERROR(__xludf.DUMMYFUNCTION("IMPORTRANGE(""https://docs.google.com/spreadsheets/d/1SX6NBoVAgQJ6U1MVXOaj8PK2l7WJ3RER9xtqwdhxkhw/edit?usp=sharing"",""เพชรบุรี!I164"")"),0)</f>
        <v>0</v>
      </c>
      <c r="J371" s="189">
        <f ca="1">IFERROR(__xludf.DUMMYFUNCTION("IMPORTRANGE(""https://docs.google.com/spreadsheets/d/1SX6NBoVAgQJ6U1MVXOaj8PK2l7WJ3RER9xtqwdhxkhw/edit?usp=sharing"",""เพชรบุรี!J164"")"),0)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IFERROR(__xludf.DUMMYFUNCTION("IMPORTRANGE(""https://docs.google.com/spreadsheets/d/1SX6NBoVAgQJ6U1MVXOaj8PK2l7WJ3RER9xtqwdhxkhw/edit?usp=sharing"",""เพชรบุรี!I267"")"),0)</f>
        <v>0</v>
      </c>
      <c r="J372" s="189">
        <f ca="1">IFERROR(__xludf.DUMMYFUNCTION("IMPORTRANGE(""https://docs.google.com/spreadsheets/d/1SX6NBoVAgQJ6U1MVXOaj8PK2l7WJ3RER9xtqwdhxkhw/edit?usp=sharing"",""เพชรบุรี!J267"")"),0)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IFERROR(__xludf.DUMMYFUNCTION("IMPORTRANGE(""https://docs.google.com/spreadsheets/d/1SX6NBoVAgQJ6U1MVXOaj8PK2l7WJ3RER9xtqwdhxkhw/edit?usp=sharing"",""เพชรบุรี!I164"")"),0)</f>
        <v>0</v>
      </c>
      <c r="J373" s="204">
        <f ca="1">IFERROR(__xludf.DUMMYFUNCTION("IMPORTRANGE(""https://docs.google.com/spreadsheets/d/1SX6NBoVAgQJ6U1MVXOaj8PK2l7WJ3RER9xtqwdhxkhw/edit?usp=sharing"",""เพชรบุรี!J164"")"),0)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IFERROR(__xludf.DUMMYFUNCTION("IMPORTRANGE(""https://docs.google.com/spreadsheets/d/1SX6NBoVAgQJ6U1MVXOaj8PK2l7WJ3RER9xtqwdhxkhw/edit?usp=sharing"",""เพชรบุรี!I164"")"),0)</f>
        <v>0</v>
      </c>
      <c r="J374" s="188">
        <f ca="1">IFERROR(__xludf.DUMMYFUNCTION("IMPORTRANGE(""https://docs.google.com/spreadsheets/d/1SX6NBoVAgQJ6U1MVXOaj8PK2l7WJ3RER9xtqwdhxkhw/edit?usp=sharing"",""เพชรบุรี!J164"")"),0)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IFERROR(__xludf.DUMMYFUNCTION("IMPORTRANGE(""https://docs.google.com/spreadsheets/d/1SX6NBoVAgQJ6U1MVXOaj8PK2l7WJ3RER9xtqwdhxkhw/edit?usp=sharing"",""เพชรบุรี!I270"")"),0)</f>
        <v>0</v>
      </c>
      <c r="J375" s="188">
        <f ca="1">IFERROR(__xludf.DUMMYFUNCTION("IMPORTRANGE(""https://docs.google.com/spreadsheets/d/1SX6NBoVAgQJ6U1MVXOaj8PK2l7WJ3RER9xtqwdhxkhw/edit?usp=sharing"",""เพชรบุรี!J270"")"),0)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IFERROR(__xludf.DUMMYFUNCTION("IMPORTRANGE(""https://docs.google.com/spreadsheets/d/1SX6NBoVAgQJ6U1MVXOaj8PK2l7WJ3RER9xtqwdhxkhw/edit?usp=sharing"",""เพชรบุรี!I271"")"),0)</f>
        <v>0</v>
      </c>
      <c r="J376" s="189">
        <f ca="1">IFERROR(__xludf.DUMMYFUNCTION("IMPORTRANGE(""https://docs.google.com/spreadsheets/d/1SX6NBoVAgQJ6U1MVXOaj8PK2l7WJ3RER9xtqwdhxkhw/edit?usp=sharing"",""เพชรบุรี!J271"")"),0)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IFERROR(__xludf.DUMMYFUNCTION("IMPORTRANGE(""https://docs.google.com/spreadsheets/d/1SX6NBoVAgQJ6U1MVXOaj8PK2l7WJ3RER9xtqwdhxkhw/edit?usp=sharing"",""เพชรบุรี!I272"")"),0)</f>
        <v>0</v>
      </c>
      <c r="J377" s="204">
        <f ca="1">IFERROR(__xludf.DUMMYFUNCTION("IMPORTRANGE(""https://docs.google.com/spreadsheets/d/1SX6NBoVAgQJ6U1MVXOaj8PK2l7WJ3RER9xtqwdhxkhw/edit?usp=sharing"",""เพชรบุรี!J272"")"),0)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IFERROR(__xludf.DUMMYFUNCTION("IMPORTRANGE(""https://docs.google.com/spreadsheets/d/1SX6NBoVAgQJ6U1MVXOaj8PK2l7WJ3RER9xtqwdhxkhw/edit?usp=sharing"",""เพชรบุรี!J273"")"),0)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IFERROR(__xludf.DUMMYFUNCTION("IMPORTRANGE(""https://docs.google.com/spreadsheets/d/1SX6NBoVAgQJ6U1MVXOaj8PK2l7WJ3RER9xtqwdhxkhw/edit?usp=sharing"",""เพชรบุรี!J274"")"),0)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IFERROR(__xludf.DUMMYFUNCTION("IMPORTRANGE(""https://docs.google.com/spreadsheets/d/1SX6NBoVAgQJ6U1MVXOaj8PK2l7WJ3RER9xtqwdhxkhw/edit?usp=sharing"",""เพชรบุรี!J275"")"),53.25)</f>
        <v>53.25</v>
      </c>
      <c r="K380" s="372">
        <f t="shared" ref="K380:K381" ca="1" si="108">IF(I380&gt;0,J380*100/I380,0)</f>
        <v>26.625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IFERROR(__xludf.DUMMYFUNCTION("IMPORTRANGE(""https://docs.google.com/spreadsheets/d/1SX6NBoVAgQJ6U1MVXOaj8PK2l7WJ3RER9xtqwdhxkhw/edit?usp=sharing"",""เพชรบุรี!M275"")"),96910)</f>
        <v>96910</v>
      </c>
      <c r="O380" s="373">
        <f ca="1">+IF(L380&gt;0,N380*100/L380,0)</f>
        <v>46.690113702062057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IFERROR(__xludf.DUMMYFUNCTION("IMPORTRANGE(""https://docs.google.com/spreadsheets/d/1SX6NBoVAgQJ6U1MVXOaj8PK2l7WJ3RER9xtqwdhxkhw/edit?usp=sharing"",""เพชรบุรี!L277"")"),0)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IFERROR(__xludf.DUMMYFUNCTION("IMPORTRANGE(""https://docs.google.com/spreadsheets/d/1SX6NBoVAgQJ6U1MVXOaj8PK2l7WJ3RER9xtqwdhxkhw/edit?usp=sharing"",""เพชรบุรี!M277"")"),0)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IFERROR(__xludf.DUMMYFUNCTION("IMPORTRANGE(""https://docs.google.com/spreadsheets/d/1SX6NBoVAgQJ6U1MVXOaj8PK2l7WJ3RER9xtqwdhxkhw/edit?usp=sharing"",""เพชรบุรี!L278"")"),207560)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IFERROR(__xludf.DUMMYFUNCTION("IMPORTRANGE(""https://docs.google.com/spreadsheets/d/1SX6NBoVAgQJ6U1MVXOaj8PK2l7WJ3RER9xtqwdhxkhw/edit?usp=sharing"",""เพชรบุรี!M278"")"),96910)</f>
        <v>96910</v>
      </c>
      <c r="O383" s="165">
        <f t="shared" ca="1" si="109"/>
        <v>46.690113702062057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IFERROR(__xludf.DUMMYFUNCTION("IMPORTRANGE(""https://docs.google.com/spreadsheets/d/1SX6NBoVAgQJ6U1MVXOaj8PK2l7WJ3RER9xtqwdhxkhw/edit?usp=sharing"",""เพชรบุรี!L279"")"),0)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IFERROR(__xludf.DUMMYFUNCTION("IMPORTRANGE(""https://docs.google.com/spreadsheets/d/1SX6NBoVAgQJ6U1MVXOaj8PK2l7WJ3RER9xtqwdhxkhw/edit?usp=sharing"",""เพชรบุรี!M279"")"),0)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IFERROR(__xludf.DUMMYFUNCTION("IMPORTRANGE(""https://docs.google.com/spreadsheets/d/1SX6NBoVAgQJ6U1MVXOaj8PK2l7WJ3RER9xtqwdhxkhw/edit?usp=sharing"",""เพชรบุรี!L280"")"),207560)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IFERROR(__xludf.DUMMYFUNCTION("IMPORTRANGE(""https://docs.google.com/spreadsheets/d/1SX6NBoVAgQJ6U1MVXOaj8PK2l7WJ3RER9xtqwdhxkhw/edit?usp=sharing"",""เพชรบุรี!M280"")"),96910)</f>
        <v>96910</v>
      </c>
      <c r="O385" s="169">
        <f t="shared" ca="1" si="109"/>
        <v>46.690113702062057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IFERROR(__xludf.DUMMYFUNCTION("IMPORTRANGE(""https://docs.google.com/spreadsheets/d/1SX6NBoVAgQJ6U1MVXOaj8PK2l7WJ3RER9xtqwdhxkhw/edit?usp=sharing"",""เพชรบุรี!M281"")"),58800)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IFERROR(__xludf.DUMMYFUNCTION("IMPORTRANGE(""https://docs.google.com/spreadsheets/d/1SX6NBoVAgQJ6U1MVXOaj8PK2l7WJ3RER9xtqwdhxkhw/edit?usp=sharing"",""เพชรบุรี!M282"")"),30880)</f>
        <v>30880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IFERROR(__xludf.DUMMYFUNCTION("IMPORTRANGE(""https://docs.google.com/spreadsheets/d/1SX6NBoVAgQJ6U1MVXOaj8PK2l7WJ3RER9xtqwdhxkhw/edit?usp=sharing"",""เพชรบุรี!M284"")"),7230)</f>
        <v>7230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IFERROR(__xludf.DUMMYFUNCTION("IMPORTRANGE(""https://docs.google.com/spreadsheets/d/1SX6NBoVAgQJ6U1MVXOaj8PK2l7WJ3RER9xtqwdhxkhw/edit?usp=sharing"",""เพชรบุรี!J286"")"),0)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IFERROR(__xludf.DUMMYFUNCTION("IMPORTRANGE(""https://docs.google.com/spreadsheets/d/1SX6NBoVAgQJ6U1MVXOaj8PK2l7WJ3RER9xtqwdhxkhw/edit?usp=sharing"",""เพชรบุรี!J287"")"),1)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IFERROR(__xludf.DUMMYFUNCTION("IMPORTRANGE(""https://docs.google.com/spreadsheets/d/1SX6NBoVAgQJ6U1MVXOaj8PK2l7WJ3RER9xtqwdhxkhw/edit?usp=sharing"",""เพชรบุรี!J288"")"),1)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IFERROR(__xludf.DUMMYFUNCTION("IMPORTRANGE(""https://docs.google.com/spreadsheets/d/1SX6NBoVAgQJ6U1MVXOaj8PK2l7WJ3RER9xtqwdhxkhw/edit?usp=sharing"",""เพชรบุรี!J289"")"),1)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IFERROR(__xludf.DUMMYFUNCTION("IMPORTRANGE(""https://docs.google.com/spreadsheets/d/1SX6NBoVAgQJ6U1MVXOaj8PK2l7WJ3RER9xtqwdhxkhw/edit?usp=sharing"",""เพชรบุรี!I291"")"),20)</f>
        <v>20</v>
      </c>
      <c r="J396" s="198">
        <f ca="1">IFERROR(__xludf.DUMMYFUNCTION("IMPORTRANGE(""https://docs.google.com/spreadsheets/d/1SX6NBoVAgQJ6U1MVXOaj8PK2l7WJ3RER9xtqwdhxkhw/edit?usp=sharing"",""เพชรบุรี!J291"")"),20)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IFERROR(__xludf.DUMMYFUNCTION("IMPORTRANGE(""https://docs.google.com/spreadsheets/d/1SX6NBoVAgQJ6U1MVXOaj8PK2l7WJ3RER9xtqwdhxkhw/edit?usp=sharing"",""เพชรบุรี!I292"")"),200)</f>
        <v>200</v>
      </c>
      <c r="J397" s="198">
        <f ca="1">IFERROR(__xludf.DUMMYFUNCTION("IMPORTRANGE(""https://docs.google.com/spreadsheets/d/1SX6NBoVAgQJ6U1MVXOaj8PK2l7WJ3RER9xtqwdhxkhw/edit?usp=sharing"",""เพชรบุรี!J292"")"),53.25)</f>
        <v>53.25</v>
      </c>
      <c r="K397" s="163">
        <f t="shared" ca="1" si="110"/>
        <v>26.625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IFERROR(__xludf.DUMMYFUNCTION("IMPORTRANGE(""https://docs.google.com/spreadsheets/d/1SX6NBoVAgQJ6U1MVXOaj8PK2l7WJ3RER9xtqwdhxkhw/edit?usp=sharing"",""เพชรบุรี!I293"")"),20)</f>
        <v>20</v>
      </c>
      <c r="J398" s="198">
        <f ca="1">IFERROR(__xludf.DUMMYFUNCTION("IMPORTRANGE(""https://docs.google.com/spreadsheets/d/1SX6NBoVAgQJ6U1MVXOaj8PK2l7WJ3RER9xtqwdhxkhw/edit?usp=sharing"",""เพชรบุรี!J293"")"),22)</f>
        <v>22</v>
      </c>
      <c r="K398" s="163">
        <f t="shared" ca="1" si="110"/>
        <v>110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IFERROR(__xludf.DUMMYFUNCTION("IMPORTRANGE(""https://docs.google.com/spreadsheets/d/1SX6NBoVAgQJ6U1MVXOaj8PK2l7WJ3RER9xtqwdhxkhw/edit?usp=sharing"",""เพชรบุรี!J294"")"),0)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IFERROR(__xludf.DUMMYFUNCTION("IMPORTRANGE(""https://docs.google.com/spreadsheets/d/1SX6NBoVAgQJ6U1MVXOaj8PK2l7WJ3RER9xtqwdhxkhw/edit?usp=sharing"",""เพชรบุรี!J295"")"),0)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IFERROR(__xludf.DUMMYFUNCTION("IMPORTRANGE(""https://docs.google.com/spreadsheets/d/1SX6NBoVAgQJ6U1MVXOaj8PK2l7WJ3RER9xtqwdhxkhw/edit?usp=sharing"",""เพชรบุรี!M296"")"),90755)</f>
        <v>90755</v>
      </c>
      <c r="O401" s="373">
        <f ca="1">+IF(L401&gt;0,N401*100/L401,0)</f>
        <v>43.842995169082123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IFERROR(__xludf.DUMMYFUNCTION("IMPORTRANGE(""https://docs.google.com/spreadsheets/d/1SX6NBoVAgQJ6U1MVXOaj8PK2l7WJ3RER9xtqwdhxkhw/edit?usp=sharing"",""เพชรบุรี!L298"")"),0)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IFERROR(__xludf.DUMMYFUNCTION("IMPORTRANGE(""https://docs.google.com/spreadsheets/d/1SX6NBoVAgQJ6U1MVXOaj8PK2l7WJ3RER9xtqwdhxkhw/edit?usp=sharing"",""เพชรบุรี!M298"")"),0)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IFERROR(__xludf.DUMMYFUNCTION("IMPORTRANGE(""https://docs.google.com/spreadsheets/d/1SX6NBoVAgQJ6U1MVXOaj8PK2l7WJ3RER9xtqwdhxkhw/edit?usp=sharing"",""เพชรบุรี!L299"")"),207000)</f>
        <v>207000</v>
      </c>
      <c r="M404" s="165"/>
      <c r="N404" s="169">
        <f ca="1">IFERROR(__xludf.DUMMYFUNCTION("IMPORTRANGE(""https://docs.google.com/spreadsheets/d/1SX6NBoVAgQJ6U1MVXOaj8PK2l7WJ3RER9xtqwdhxkhw/edit?usp=sharing"",""เพชรบุรี!M299"")"),90755)</f>
        <v>90755</v>
      </c>
      <c r="O404" s="169">
        <f t="shared" ca="1" si="112"/>
        <v>43.842995169082123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IFERROR(__xludf.DUMMYFUNCTION("IMPORTRANGE(""https://docs.google.com/spreadsheets/d/1SX6NBoVAgQJ6U1MVXOaj8PK2l7WJ3RER9xtqwdhxkhw/edit?usp=sharing"",""เพชรบุรี!L300"")"),0)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IFERROR(__xludf.DUMMYFUNCTION("IMPORTRANGE(""https://docs.google.com/spreadsheets/d/1SX6NBoVAgQJ6U1MVXOaj8PK2l7WJ3RER9xtqwdhxkhw/edit?usp=sharing"",""เพชรบุรี!M300"")"),0)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IFERROR(__xludf.DUMMYFUNCTION("IMPORTRANGE(""https://docs.google.com/spreadsheets/d/1SX6NBoVAgQJ6U1MVXOaj8PK2l7WJ3RER9xtqwdhxkhw/edit?usp=sharing"",""เพชรบุรี!L301"")"),207000)</f>
        <v>207000</v>
      </c>
      <c r="M406" s="169"/>
      <c r="N406" s="169">
        <f ca="1">IFERROR(__xludf.DUMMYFUNCTION("IMPORTRANGE(""https://docs.google.com/spreadsheets/d/1SX6NBoVAgQJ6U1MVXOaj8PK2l7WJ3RER9xtqwdhxkhw/edit?usp=sharing"",""เพชรบุรี!M301"")"),90755)</f>
        <v>90755</v>
      </c>
      <c r="O406" s="169">
        <f t="shared" ca="1" si="112"/>
        <v>43.842995169082123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IFERROR(__xludf.DUMMYFUNCTION("IMPORTRANGE(""https://docs.google.com/spreadsheets/d/1SX6NBoVAgQJ6U1MVXOaj8PK2l7WJ3RER9xtqwdhxkhw/edit?usp=sharing"",""เพชรบุรี!M302"")"),90755)</f>
        <v>90755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IFERROR(__xludf.DUMMYFUNCTION("IMPORTRANGE(""https://docs.google.com/spreadsheets/d/1SX6NBoVAgQJ6U1MVXOaj8PK2l7WJ3RER9xtqwdhxkhw/edit?usp=sharing"",""เพชรบุรี!M303"")"),0)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IFERROR(__xludf.DUMMYFUNCTION("IMPORTRANGE(""https://docs.google.com/spreadsheets/d/1SX6NBoVAgQJ6U1MVXOaj8PK2l7WJ3RER9xtqwdhxkhw/edit?usp=sharing"",""เพชรบุรี!M305"")"),0)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IFERROR(__xludf.DUMMYFUNCTION("IMPORTRANGE(""https://docs.google.com/spreadsheets/d/1SX6NBoVAgQJ6U1MVXOaj8PK2l7WJ3RER9xtqwdhxkhw/edit?usp=sharing"",""เพชรบุรี!J307"")"),0)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IFERROR(__xludf.DUMMYFUNCTION("IMPORTRANGE(""https://docs.google.com/spreadsheets/d/1SX6NBoVAgQJ6U1MVXOaj8PK2l7WJ3RER9xtqwdhxkhw/edit?usp=sharing"",""เพชรบุรี!J308"")"),1)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IFERROR(__xludf.DUMMYFUNCTION("IMPORTRANGE(""https://docs.google.com/spreadsheets/d/1SX6NBoVAgQJ6U1MVXOaj8PK2l7WJ3RER9xtqwdhxkhw/edit?usp=sharing"",""เพชรบุรี!J309"")"),1)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IFERROR(__xludf.DUMMYFUNCTION("IMPORTRANGE(""https://docs.google.com/spreadsheets/d/1SX6NBoVAgQJ6U1MVXOaj8PK2l7WJ3RER9xtqwdhxkhw/edit?usp=sharing"",""เพชรบุรี!J310"")"),1)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IFERROR(__xludf.DUMMYFUNCTION("IMPORTRANGE(""https://docs.google.com/spreadsheets/d/1SX6NBoVAgQJ6U1MVXOaj8PK2l7WJ3RER9xtqwdhxkhw/edit?usp=sharing"",""เพชรบุรี!I311"")"),60)</f>
        <v>60</v>
      </c>
      <c r="J416" s="201">
        <f ca="1">IFERROR(__xludf.DUMMYFUNCTION("IMPORTRANGE(""https://docs.google.com/spreadsheets/d/1SX6NBoVAgQJ6U1MVXOaj8PK2l7WJ3RER9xtqwdhxkhw/edit?usp=sharing"",""เพชรบุรี!J311"")"),60)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IFERROR(__xludf.DUMMYFUNCTION("IMPORTRANGE(""https://docs.google.com/spreadsheets/d/1SX6NBoVAgQJ6U1MVXOaj8PK2l7WJ3RER9xtqwdhxkhw/edit?usp=sharing"",""เพชรบุรี!J312"")"),25)</f>
        <v>25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IFERROR(__xludf.DUMMYFUNCTION("IMPORTRANGE(""https://docs.google.com/spreadsheets/d/1SX6NBoVAgQJ6U1MVXOaj8PK2l7WJ3RER9xtqwdhxkhw/edit?usp=sharing"",""เพชรบุรี!J313"")"),75)</f>
        <v>75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IFERROR(__xludf.DUMMYFUNCTION("IMPORTRANGE(""https://docs.google.com/spreadsheets/d/1SX6NBoVAgQJ6U1MVXOaj8PK2l7WJ3RER9xtqwdhxkhw/edit?usp=sharing"",""เพชรบุรี!J314"")"),25)</f>
        <v>25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IFERROR(__xludf.DUMMYFUNCTION("IMPORTRANGE(""https://docs.google.com/spreadsheets/d/1SX6NBoVAgQJ6U1MVXOaj8PK2l7WJ3RER9xtqwdhxkhw/edit?usp=sharing"",""เพชรบุรี!J315"")"),25)</f>
        <v>25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IFERROR(__xludf.DUMMYFUNCTION("IMPORTRANGE(""https://docs.google.com/spreadsheets/d/1SX6NBoVAgQJ6U1MVXOaj8PK2l7WJ3RER9xtqwdhxkhw/edit?usp=sharing"",""เพชรบุรี!J316"")"),24)</f>
        <v>24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IFERROR(__xludf.DUMMYFUNCTION("IMPORTRANGE(""https://docs.google.com/spreadsheets/d/1SX6NBoVAgQJ6U1MVXOaj8PK2l7WJ3RER9xtqwdhxkhw/edit?usp=sharing"",""เพชรบุรี!J317"")"),72)</f>
        <v>72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IFERROR(__xludf.DUMMYFUNCTION("IMPORTRANGE(""https://docs.google.com/spreadsheets/d/1SX6NBoVAgQJ6U1MVXOaj8PK2l7WJ3RER9xtqwdhxkhw/edit?usp=sharing"",""เพชรบุรี!J318"")"),24)</f>
        <v>24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IFERROR(__xludf.DUMMYFUNCTION("IMPORTRANGE(""https://docs.google.com/spreadsheets/d/1SX6NBoVAgQJ6U1MVXOaj8PK2l7WJ3RER9xtqwdhxkhw/edit?usp=sharing"",""เพชรบุรี!J319"")"),24)</f>
        <v>24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IFERROR(__xludf.DUMMYFUNCTION("IMPORTRANGE(""https://docs.google.com/spreadsheets/d/1SX6NBoVAgQJ6U1MVXOaj8PK2l7WJ3RER9xtqwdhxkhw/edit?usp=sharing"",""เพชรบุรี!J320"")"),24)</f>
        <v>24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IFERROR(__xludf.DUMMYFUNCTION("IMPORTRANGE(""https://docs.google.com/spreadsheets/d/1SX6NBoVAgQJ6U1MVXOaj8PK2l7WJ3RER9xtqwdhxkhw/edit?usp=sharing"",""เพชรบุรี!J328"")"),0)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IFERROR(__xludf.DUMMYFUNCTION("IMPORTRANGE(""https://docs.google.com/spreadsheets/d/1SX6NBoVAgQJ6U1MVXOaj8PK2l7WJ3RER9xtqwdhxkhw/edit?usp=sharing"",""เพชรบุรี!J329"")"),0)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IFERROR(__xludf.DUMMYFUNCTION("IMPORTRANGE(""https://docs.google.com/spreadsheets/d/1SX6NBoVAgQJ6U1MVXOaj8PK2l7WJ3RER9xtqwdhxkhw/edit?usp=sharing"",""เพชรบุรี!J330"")"),50)</f>
        <v>50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IFERROR(__xludf.DUMMYFUNCTION("IMPORTRANGE(""https://docs.google.com/spreadsheets/d/1SX6NBoVAgQJ6U1MVXOaj8PK2l7WJ3RER9xtqwdhxkhw/edit?usp=sharing"",""เพชรบุรี!M330"")"),122949)</f>
        <v>122949</v>
      </c>
      <c r="O435" s="412">
        <f t="shared" ref="O435:O439" ca="1" si="114">+IF(L435&gt;0,N435*100/L435,0)</f>
        <v>73.887620192307693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IFERROR(__xludf.DUMMYFUNCTION("IMPORTRANGE(""https://docs.google.com/spreadsheets/d/1SX6NBoVAgQJ6U1MVXOaj8PK2l7WJ3RER9xtqwdhxkhw/edit?usp=sharing"",""เพชรบุรี!L331"")"),0)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IFERROR(__xludf.DUMMYFUNCTION("IMPORTRANGE(""https://docs.google.com/spreadsheets/d/1SX6NBoVAgQJ6U1MVXOaj8PK2l7WJ3RER9xtqwdhxkhw/edit?usp=sharing"",""เพชรบุรี!M331"")"),0)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IFERROR(__xludf.DUMMYFUNCTION("IMPORTRANGE(""https://docs.google.com/spreadsheets/d/1SX6NBoVAgQJ6U1MVXOaj8PK2l7WJ3RER9xtqwdhxkhw/edit?usp=sharing"",""เพชรบุรี!L332"")"),166400)</f>
        <v>166400</v>
      </c>
      <c r="M437" s="165"/>
      <c r="N437" s="169">
        <f ca="1">IFERROR(__xludf.DUMMYFUNCTION("IMPORTRANGE(""https://docs.google.com/spreadsheets/d/1SX6NBoVAgQJ6U1MVXOaj8PK2l7WJ3RER9xtqwdhxkhw/edit?usp=sharing"",""เพชรบุรี!M332"")"),122949)</f>
        <v>122949</v>
      </c>
      <c r="O437" s="169">
        <f t="shared" ca="1" si="114"/>
        <v>73.887620192307693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IFERROR(__xludf.DUMMYFUNCTION("IMPORTRANGE(""https://docs.google.com/spreadsheets/d/1SX6NBoVAgQJ6U1MVXOaj8PK2l7WJ3RER9xtqwdhxkhw/edit?usp=sharing"",""เพชรบุรี!L333"")"),0)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IFERROR(__xludf.DUMMYFUNCTION("IMPORTRANGE(""https://docs.google.com/spreadsheets/d/1SX6NBoVAgQJ6U1MVXOaj8PK2l7WJ3RER9xtqwdhxkhw/edit?usp=sharing"",""เพชรบุรี!M333"")"),0)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IFERROR(__xludf.DUMMYFUNCTION("IMPORTRANGE(""https://docs.google.com/spreadsheets/d/1SX6NBoVAgQJ6U1MVXOaj8PK2l7WJ3RER9xtqwdhxkhw/edit?usp=sharing"",""เพชรบุรี!L334"")"),166400)</f>
        <v>166400</v>
      </c>
      <c r="M439" s="169"/>
      <c r="N439" s="169">
        <f ca="1">IFERROR(__xludf.DUMMYFUNCTION("IMPORTRANGE(""https://docs.google.com/spreadsheets/d/1SX6NBoVAgQJ6U1MVXOaj8PK2l7WJ3RER9xtqwdhxkhw/edit?usp=sharing"",""เพชรบุรี!M334"")"),122949)</f>
        <v>122949</v>
      </c>
      <c r="O439" s="169">
        <f t="shared" ca="1" si="114"/>
        <v>73.887620192307693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IFERROR(__xludf.DUMMYFUNCTION("IMPORTRANGE(""https://docs.google.com/spreadsheets/d/1SX6NBoVAgQJ6U1MVXOaj8PK2l7WJ3RER9xtqwdhxkhw/edit?usp=sharing"",""เพชรบุรี!M335"")"),122949)</f>
        <v>122949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IFERROR(__xludf.DUMMYFUNCTION("IMPORTRANGE(""https://docs.google.com/spreadsheets/d/1SX6NBoVAgQJ6U1MVXOaj8PK2l7WJ3RER9xtqwdhxkhw/edit?usp=sharing"",""เพชรบุรี!M338"")"),0)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IFERROR(__xludf.DUMMYFUNCTION("IMPORTRANGE(""https://docs.google.com/spreadsheets/d/1SX6NBoVAgQJ6U1MVXOaj8PK2l7WJ3RER9xtqwdhxkhw/edit?usp=sharing"",""เพชรบุรี!J340"")"),0)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IFERROR(__xludf.DUMMYFUNCTION("IMPORTRANGE(""https://docs.google.com/spreadsheets/d/1SX6NBoVAgQJ6U1MVXOaj8PK2l7WJ3RER9xtqwdhxkhw/edit?usp=sharing"",""เพชรบุรี!J342"")"),1)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IFERROR(__xludf.DUMMYFUNCTION("IMPORTRANGE(""https://docs.google.com/spreadsheets/d/1SX6NBoVAgQJ6U1MVXOaj8PK2l7WJ3RER9xtqwdhxkhw/edit?usp=sharing"",""เพชรบุรี!J343"")"),1)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1">
        <f ca="1">IFERROR(__xludf.DUMMYFUNCTION("IMPORTRANGE(""https://docs.google.com/spreadsheets/d/1SX6NBoVAgQJ6U1MVXOaj8PK2l7WJ3RER9xtqwdhxkhw/edit?usp=sharing"",""เพชรบุรี!J344"")"),50)</f>
        <v>50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IFERROR(__xludf.DUMMYFUNCTION("IMPORTRANGE(""https://docs.google.com/spreadsheets/d/1SX6NBoVAgQJ6U1MVXOaj8PK2l7WJ3RER9xtqwdhxkhw/edit?usp=sharing"",""เพชรบุรี!I345"")"),50)</f>
        <v>50</v>
      </c>
      <c r="J450" s="189">
        <f ca="1">IFERROR(__xludf.DUMMYFUNCTION("IMPORTRANGE(""https://docs.google.com/spreadsheets/d/1SX6NBoVAgQJ6U1MVXOaj8PK2l7WJ3RER9xtqwdhxkhw/edit?usp=sharing"",""เพชรบุรี!J345"")"),50)</f>
        <v>50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IFERROR(__xludf.DUMMYFUNCTION("IMPORTRANGE(""https://docs.google.com/spreadsheets/d/1SX6NBoVAgQJ6U1MVXOaj8PK2l7WJ3RER9xtqwdhxkhw/edit?usp=sharing"",""เพชรบุรี!I346"")"),0)</f>
        <v>0</v>
      </c>
      <c r="J451" s="188">
        <f ca="1">IFERROR(__xludf.DUMMYFUNCTION("IMPORTRANGE(""https://docs.google.com/spreadsheets/d/1SX6NBoVAgQJ6U1MVXOaj8PK2l7WJ3RER9xtqwdhxkhw/edit?usp=sharing"",""เพชรบุรี!J346"")"),0)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IFERROR(__xludf.DUMMYFUNCTION("IMPORTRANGE(""https://docs.google.com/spreadsheets/d/1SX6NBoVAgQJ6U1MVXOaj8PK2l7WJ3RER9xtqwdhxkhw/edit?usp=sharing"",""เพชรบุรี!I347"")"),0)</f>
        <v>0</v>
      </c>
      <c r="J452" s="188">
        <f ca="1">IFERROR(__xludf.DUMMYFUNCTION("IMPORTRANGE(""https://docs.google.com/spreadsheets/d/1SX6NBoVAgQJ6U1MVXOaj8PK2l7WJ3RER9xtqwdhxkhw/edit?usp=sharing"",""เพชรบุรี!J347"")"),0)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IFERROR(__xludf.DUMMYFUNCTION("IMPORTRANGE(""https://docs.google.com/spreadsheets/d/1SX6NBoVAgQJ6U1MVXOaj8PK2l7WJ3RER9xtqwdhxkhw/edit?usp=sharing"",""เพชรบุรี!J348"")"),0)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IFERROR(__xludf.DUMMYFUNCTION("IMPORTRANGE(""https://docs.google.com/spreadsheets/d/1SX6NBoVAgQJ6U1MVXOaj8PK2l7WJ3RER9xtqwdhxkhw/edit?usp=sharing"",""เพชรบุรี!J349"")"),0)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IFERROR(__xludf.DUMMYFUNCTION("IMPORTRANGE(""https://docs.google.com/spreadsheets/d/1SX6NBoVAgQJ6U1MVXOaj8PK2l7WJ3RER9xtqwdhxkhw/edit?usp=sharing"",""เพชรบุรี!J350"")"),2169)</f>
        <v>2169</v>
      </c>
      <c r="K455" s="372">
        <f ca="1">IF(I455&gt;0,J455*100/I455,0)</f>
        <v>91.945739720220431</v>
      </c>
      <c r="L455" s="373">
        <f ca="1">IFERROR(__xludf.DUMMYFUNCTION("IMPORTRANGE(""https://docs.google.com/spreadsheets/d/1SX6NBoVAgQJ6U1MVXOaj8PK2l7WJ3RER9xtqwdhxkhw/edit?usp=sharing"",""เพชรบุรี!L350"")"),108247)</f>
        <v>108247</v>
      </c>
      <c r="M455" s="373"/>
      <c r="N455" s="373">
        <f ca="1">IFERROR(__xludf.DUMMYFUNCTION("IMPORTRANGE(""https://docs.google.com/spreadsheets/d/1SX6NBoVAgQJ6U1MVXOaj8PK2l7WJ3RER9xtqwdhxkhw/edit?usp=sharing"",""เพชรบุรี!M350"")"),34650)</f>
        <v>34650</v>
      </c>
      <c r="O455" s="373">
        <f t="shared" ref="O455:O459" ca="1" si="116">+IF(L455&gt;0,N455*100/L455,0)</f>
        <v>32.010124991916634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IFERROR(__xludf.DUMMYFUNCTION("IMPORTRANGE(""https://docs.google.com/spreadsheets/d/1SX6NBoVAgQJ6U1MVXOaj8PK2l7WJ3RER9xtqwdhxkhw/edit?usp=sharing"",""เพชรบุรี!L351"")"),0)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IFERROR(__xludf.DUMMYFUNCTION("IMPORTRANGE(""https://docs.google.com/spreadsheets/d/1SX6NBoVAgQJ6U1MVXOaj8PK2l7WJ3RER9xtqwdhxkhw/edit?usp=sharing"",""เพชรบุรี!M351"")"),0)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IFERROR(__xludf.DUMMYFUNCTION("IMPORTRANGE(""https://docs.google.com/spreadsheets/d/1SX6NBoVAgQJ6U1MVXOaj8PK2l7WJ3RER9xtqwdhxkhw/edit?usp=sharing"",""เพชรบุรี!L352"")"),108247)</f>
        <v>108247</v>
      </c>
      <c r="M457" s="165"/>
      <c r="N457" s="169">
        <f ca="1">IFERROR(__xludf.DUMMYFUNCTION("IMPORTRANGE(""https://docs.google.com/spreadsheets/d/1SX6NBoVAgQJ6U1MVXOaj8PK2l7WJ3RER9xtqwdhxkhw/edit?usp=sharing"",""เพชรบุรี!M352"")"),34650)</f>
        <v>34650</v>
      </c>
      <c r="O457" s="169">
        <f t="shared" ca="1" si="116"/>
        <v>32.010124991916634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IFERROR(__xludf.DUMMYFUNCTION("IMPORTRANGE(""https://docs.google.com/spreadsheets/d/1SX6NBoVAgQJ6U1MVXOaj8PK2l7WJ3RER9xtqwdhxkhw/edit?usp=sharing"",""เพชรบุรี!L353"")"),0)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IFERROR(__xludf.DUMMYFUNCTION("IMPORTRANGE(""https://docs.google.com/spreadsheets/d/1SX6NBoVAgQJ6U1MVXOaj8PK2l7WJ3RER9xtqwdhxkhw/edit?usp=sharing"",""เพชรบุรี!M353"")"),0)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IFERROR(__xludf.DUMMYFUNCTION("IMPORTRANGE(""https://docs.google.com/spreadsheets/d/1SX6NBoVAgQJ6U1MVXOaj8PK2l7WJ3RER9xtqwdhxkhw/edit?usp=sharing"",""เพชรบุรี!L354"")"),108247)</f>
        <v>108247</v>
      </c>
      <c r="M459" s="169"/>
      <c r="N459" s="169">
        <f ca="1">IFERROR(__xludf.DUMMYFUNCTION("IMPORTRANGE(""https://docs.google.com/spreadsheets/d/1SX6NBoVAgQJ6U1MVXOaj8PK2l7WJ3RER9xtqwdhxkhw/edit?usp=sharing"",""เพชรบุรี!M354"")"),34650)</f>
        <v>34650</v>
      </c>
      <c r="O459" s="169">
        <f t="shared" ca="1" si="116"/>
        <v>32.010124991916634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IFERROR(__xludf.DUMMYFUNCTION("IMPORTRANGE(""https://docs.google.com/spreadsheets/d/1SX6NBoVAgQJ6U1MVXOaj8PK2l7WJ3RER9xtqwdhxkhw/edit?usp=sharing"",""เพชรบุรี!M355"")"),0)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IFERROR(__xludf.DUMMYFUNCTION("IMPORTRANGE(""https://docs.google.com/spreadsheets/d/1SX6NBoVAgQJ6U1MVXOaj8PK2l7WJ3RER9xtqwdhxkhw/edit?usp=sharing"",""เพชรบุรี!M356"")"),0)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IFERROR(__xludf.DUMMYFUNCTION("IMPORTRANGE(""https://docs.google.com/spreadsheets/d/1SX6NBoVAgQJ6U1MVXOaj8PK2l7WJ3RER9xtqwdhxkhw/edit?usp=sharing"",""เพชรบุรี!M358"")"),34650)</f>
        <v>34650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IFERROR(__xludf.DUMMYFUNCTION("IMPORTRANGE(""https://docs.google.com/spreadsheets/d/1SX6NBoVAgQJ6U1MVXOaj8PK2l7WJ3RER9xtqwdhxkhw/edit?usp=sharing"",""เพชรบุรี!I359"")"),2359)</f>
        <v>2359</v>
      </c>
      <c r="J464" s="268">
        <f ca="1">IFERROR(__xludf.DUMMYFUNCTION("IMPORTRANGE(""https://docs.google.com/spreadsheets/d/1SX6NBoVAgQJ6U1MVXOaj8PK2l7WJ3RER9xtqwdhxkhw/edit?usp=sharing"",""เพชรบุรี!J359"")"),2169)</f>
        <v>2169</v>
      </c>
      <c r="K464" s="269">
        <f t="shared" ref="K464:K515" ca="1" si="117">IF(I464&gt;0,J464*100/I464,0)</f>
        <v>91.945739720220431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IFERROR(__xludf.DUMMYFUNCTION("IMPORTRANGE(""https://docs.google.com/spreadsheets/d/1SX6NBoVAgQJ6U1MVXOaj8PK2l7WJ3RER9xtqwdhxkhw/edit?usp=sharing"",""เพชรบุรี!J360"")"),2359)</f>
        <v>2359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IFERROR(__xludf.DUMMYFUNCTION("IMPORTRANGE(""https://docs.google.com/spreadsheets/d/1SX6NBoVAgQJ6U1MVXOaj8PK2l7WJ3RER9xtqwdhxkhw/edit?usp=sharing"",""เพชรบุรี!I362"")"),0)</f>
        <v>0</v>
      </c>
      <c r="J467" s="189">
        <f ca="1">IFERROR(__xludf.DUMMYFUNCTION("IMPORTRANGE(""https://docs.google.com/spreadsheets/d/1SX6NBoVAgQJ6U1MVXOaj8PK2l7WJ3RER9xtqwdhxkhw/edit?usp=sharing"",""เพชรบุรี!J362"")"),2042)</f>
        <v>2042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IFERROR(__xludf.DUMMYFUNCTION("IMPORTRANGE(""https://docs.google.com/spreadsheets/d/1SX6NBoVAgQJ6U1MVXOaj8PK2l7WJ3RER9xtqwdhxkhw/edit?usp=sharing"",""เพชรบุรี!I363"")"),0)</f>
        <v>0</v>
      </c>
      <c r="J468" s="189">
        <f ca="1">IFERROR(__xludf.DUMMYFUNCTION("IMPORTRANGE(""https://docs.google.com/spreadsheets/d/1SX6NBoVAgQJ6U1MVXOaj8PK2l7WJ3RER9xtqwdhxkhw/edit?usp=sharing"",""เพชรบุรี!J363"")"),271)</f>
        <v>271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IFERROR(__xludf.DUMMYFUNCTION("IMPORTRANGE(""https://docs.google.com/spreadsheets/d/1SX6NBoVAgQJ6U1MVXOaj8PK2l7WJ3RER9xtqwdhxkhw/edit?usp=sharing"",""เพชรบุรี!I364"")"),0)</f>
        <v>0</v>
      </c>
      <c r="J469" s="189">
        <f ca="1">IFERROR(__xludf.DUMMYFUNCTION("IMPORTRANGE(""https://docs.google.com/spreadsheets/d/1SX6NBoVAgQJ6U1MVXOaj8PK2l7WJ3RER9xtqwdhxkhw/edit?usp=sharing"",""เพชรบุรี!J364"")"),305)</f>
        <v>305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IFERROR(__xludf.DUMMYFUNCTION("IMPORTRANGE(""https://docs.google.com/spreadsheets/d/1SX6NBoVAgQJ6U1MVXOaj8PK2l7WJ3RER9xtqwdhxkhw/edit?usp=sharing"",""เพชรบุรี!I365"")"),0)</f>
        <v>0</v>
      </c>
      <c r="J470" s="189">
        <f ca="1">IFERROR(__xludf.DUMMYFUNCTION("IMPORTRANGE(""https://docs.google.com/spreadsheets/d/1SX6NBoVAgQJ6U1MVXOaj8PK2l7WJ3RER9xtqwdhxkhw/edit?usp=sharing"",""เพชรบุรี!J365"")"),38)</f>
        <v>38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IFERROR(__xludf.DUMMYFUNCTION("IMPORTRANGE(""https://docs.google.com/spreadsheets/d/1SX6NBoVAgQJ6U1MVXOaj8PK2l7WJ3RER9xtqwdhxkhw/edit?usp=sharing"",""เพชรบุรี!I366"")"),0)</f>
        <v>0</v>
      </c>
      <c r="J471" s="189">
        <f ca="1">IFERROR(__xludf.DUMMYFUNCTION("IMPORTRANGE(""https://docs.google.com/spreadsheets/d/1SX6NBoVAgQJ6U1MVXOaj8PK2l7WJ3RER9xtqwdhxkhw/edit?usp=sharing"",""เพชรบุรี!J366"")"),12)</f>
        <v>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IFERROR(__xludf.DUMMYFUNCTION("IMPORTRANGE(""https://docs.google.com/spreadsheets/d/1SX6NBoVAgQJ6U1MVXOaj8PK2l7WJ3RER9xtqwdhxkhw/edit?usp=sharing"",""เพชรบุรี!I367"")"),0)</f>
        <v>0</v>
      </c>
      <c r="J472" s="189">
        <f ca="1">IFERROR(__xludf.DUMMYFUNCTION("IMPORTRANGE(""https://docs.google.com/spreadsheets/d/1SX6NBoVAgQJ6U1MVXOaj8PK2l7WJ3RER9xtqwdhxkhw/edit?usp=sharing"",""เพชรบุรี!J367"")"),2)</f>
        <v>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IFERROR(__xludf.DUMMYFUNCTION("IMPORTRANGE(""https://docs.google.com/spreadsheets/d/1SX6NBoVAgQJ6U1MVXOaj8PK2l7WJ3RER9xtqwdhxkhw/edit?usp=sharing"",""เพชรบุรี!I370"")"),0)</f>
        <v>0</v>
      </c>
      <c r="J475" s="189">
        <f ca="1">IFERROR(__xludf.DUMMYFUNCTION("IMPORTRANGE(""https://docs.google.com/spreadsheets/d/1SX6NBoVAgQJ6U1MVXOaj8PK2l7WJ3RER9xtqwdhxkhw/edit?usp=sharing"",""เพชรบุรี!J370"")"),2042)</f>
        <v>2042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IFERROR(__xludf.DUMMYFUNCTION("IMPORTRANGE(""https://docs.google.com/spreadsheets/d/1SX6NBoVAgQJ6U1MVXOaj8PK2l7WJ3RER9xtqwdhxkhw/edit?usp=sharing"",""เพชรบุรี!I371"")"),0)</f>
        <v>0</v>
      </c>
      <c r="J476" s="189">
        <f ca="1">IFERROR(__xludf.DUMMYFUNCTION("IMPORTRANGE(""https://docs.google.com/spreadsheets/d/1SX6NBoVAgQJ6U1MVXOaj8PK2l7WJ3RER9xtqwdhxkhw/edit?usp=sharing"",""เพชรบุรี!J371"")"),272)</f>
        <v>272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IFERROR(__xludf.DUMMYFUNCTION("IMPORTRANGE(""https://docs.google.com/spreadsheets/d/1SX6NBoVAgQJ6U1MVXOaj8PK2l7WJ3RER9xtqwdhxkhw/edit?usp=sharing"",""เพชรบุรี!I372"")"),0)</f>
        <v>0</v>
      </c>
      <c r="J477" s="189">
        <f ca="1">IFERROR(__xludf.DUMMYFUNCTION("IMPORTRANGE(""https://docs.google.com/spreadsheets/d/1SX6NBoVAgQJ6U1MVXOaj8PK2l7WJ3RER9xtqwdhxkhw/edit?usp=sharing"",""เพชรบุรี!J372"")"),301)</f>
        <v>301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IFERROR(__xludf.DUMMYFUNCTION("IMPORTRANGE(""https://docs.google.com/spreadsheets/d/1SX6NBoVAgQJ6U1MVXOaj8PK2l7WJ3RER9xtqwdhxkhw/edit?usp=sharing"",""เพชรบุรี!I373"")"),0)</f>
        <v>0</v>
      </c>
      <c r="J478" s="189">
        <f ca="1">IFERROR(__xludf.DUMMYFUNCTION("IMPORTRANGE(""https://docs.google.com/spreadsheets/d/1SX6NBoVAgQJ6U1MVXOaj8PK2l7WJ3RER9xtqwdhxkhw/edit?usp=sharing"",""เพชรบุรี!J373"")"),36)</f>
        <v>36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IFERROR(__xludf.DUMMYFUNCTION("IMPORTRANGE(""https://docs.google.com/spreadsheets/d/1SX6NBoVAgQJ6U1MVXOaj8PK2l7WJ3RER9xtqwdhxkhw/edit?usp=sharing"",""เพชรบุรี!I374"")"),0)</f>
        <v>0</v>
      </c>
      <c r="J479" s="189">
        <f ca="1">IFERROR(__xludf.DUMMYFUNCTION("IMPORTRANGE(""https://docs.google.com/spreadsheets/d/1SX6NBoVAgQJ6U1MVXOaj8PK2l7WJ3RER9xtqwdhxkhw/edit?usp=sharing"",""เพชรบุรี!J374"")"),16)</f>
        <v>16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IFERROR(__xludf.DUMMYFUNCTION("IMPORTRANGE(""https://docs.google.com/spreadsheets/d/1SX6NBoVAgQJ6U1MVXOaj8PK2l7WJ3RER9xtqwdhxkhw/edit?usp=sharing"",""เพชรบุรี!I375"")"),0)</f>
        <v>0</v>
      </c>
      <c r="J480" s="189">
        <f ca="1">IFERROR(__xludf.DUMMYFUNCTION("IMPORTRANGE(""https://docs.google.com/spreadsheets/d/1SX6NBoVAgQJ6U1MVXOaj8PK2l7WJ3RER9xtqwdhxkhw/edit?usp=sharing"",""เพชรบุรี!J375"")"),3)</f>
        <v>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IFERROR(__xludf.DUMMYFUNCTION("IMPORTRANGE(""https://docs.google.com/spreadsheets/d/1SX6NBoVAgQJ6U1MVXOaj8PK2l7WJ3RER9xtqwdhxkhw/edit?usp=sharing"",""เพชรบุรี!J376"")"),2169)</f>
        <v>2169</v>
      </c>
      <c r="K481" s="202">
        <f t="shared" ca="1" si="117"/>
        <v>91.945739720220431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IFERROR(__xludf.DUMMYFUNCTION("IMPORTRANGE(""https://docs.google.com/spreadsheets/d/1SX6NBoVAgQJ6U1MVXOaj8PK2l7WJ3RER9xtqwdhxkhw/edit?usp=sharing"",""เพชรบุรี!J377"")"),289)</f>
        <v>289</v>
      </c>
      <c r="K482" s="202">
        <f t="shared" ca="1" si="117"/>
        <v>92.926045016077168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IFERROR(__xludf.DUMMYFUNCTION("IMPORTRANGE(""https://docs.google.com/spreadsheets/d/1SX6NBoVAgQJ6U1MVXOaj8PK2l7WJ3RER9xtqwdhxkhw/edit?usp=sharing"",""เพชรบุรี!I378"")"),0)</f>
        <v>0</v>
      </c>
      <c r="J483" s="189">
        <f ca="1">IFERROR(__xludf.DUMMYFUNCTION("IMPORTRANGE(""https://docs.google.com/spreadsheets/d/1SX6NBoVAgQJ6U1MVXOaj8PK2l7WJ3RER9xtqwdhxkhw/edit?usp=sharing"",""เพชรบุรี!J378"")"),2148)</f>
        <v>2148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IFERROR(__xludf.DUMMYFUNCTION("IMPORTRANGE(""https://docs.google.com/spreadsheets/d/1SX6NBoVAgQJ6U1MVXOaj8PK2l7WJ3RER9xtqwdhxkhw/edit?usp=sharing"",""เพชรบุรี!I379"")"),0)</f>
        <v>0</v>
      </c>
      <c r="J484" s="189">
        <f ca="1">IFERROR(__xludf.DUMMYFUNCTION("IMPORTRANGE(""https://docs.google.com/spreadsheets/d/1SX6NBoVAgQJ6U1MVXOaj8PK2l7WJ3RER9xtqwdhxkhw/edit?usp=sharing"",""เพชรบุรี!J379"")"),285)</f>
        <v>285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IFERROR(__xludf.DUMMYFUNCTION("IMPORTRANGE(""https://docs.google.com/spreadsheets/d/1SX6NBoVAgQJ6U1MVXOaj8PK2l7WJ3RER9xtqwdhxkhw/edit?usp=sharing"",""เพชรบุรี!I380"")"),0)</f>
        <v>0</v>
      </c>
      <c r="J485" s="189">
        <f ca="1">IFERROR(__xludf.DUMMYFUNCTION("IMPORTRANGE(""https://docs.google.com/spreadsheets/d/1SX6NBoVAgQJ6U1MVXOaj8PK2l7WJ3RER9xtqwdhxkhw/edit?usp=sharing"",""เพชรบุรี!J380"")"),0)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IFERROR(__xludf.DUMMYFUNCTION("IMPORTRANGE(""https://docs.google.com/spreadsheets/d/1SX6NBoVAgQJ6U1MVXOaj8PK2l7WJ3RER9xtqwdhxkhw/edit?usp=sharing"",""เพชรบุรี!I381"")"),0)</f>
        <v>0</v>
      </c>
      <c r="J486" s="189">
        <f ca="1">IFERROR(__xludf.DUMMYFUNCTION("IMPORTRANGE(""https://docs.google.com/spreadsheets/d/1SX6NBoVAgQJ6U1MVXOaj8PK2l7WJ3RER9xtqwdhxkhw/edit?usp=sharing"",""เพชรบุรี!J381"")"),0)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IFERROR(__xludf.DUMMYFUNCTION("IMPORTRANGE(""https://docs.google.com/spreadsheets/d/1SX6NBoVAgQJ6U1MVXOaj8PK2l7WJ3RER9xtqwdhxkhw/edit?usp=sharing"",""เพชรบุรี!I384"")"),0)</f>
        <v>0</v>
      </c>
      <c r="J489" s="189">
        <f ca="1">IFERROR(__xludf.DUMMYFUNCTION("IMPORTRANGE(""https://docs.google.com/spreadsheets/d/1SX6NBoVAgQJ6U1MVXOaj8PK2l7WJ3RER9xtqwdhxkhw/edit?usp=sharing"",""เพชรบุรี!J384"")"),21)</f>
        <v>21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IFERROR(__xludf.DUMMYFUNCTION("IMPORTRANGE(""https://docs.google.com/spreadsheets/d/1SX6NBoVAgQJ6U1MVXOaj8PK2l7WJ3RER9xtqwdhxkhw/edit?usp=sharing"",""เพชรบุรี!I385"")"),0)</f>
        <v>0</v>
      </c>
      <c r="J490" s="189">
        <f ca="1">IFERROR(__xludf.DUMMYFUNCTION("IMPORTRANGE(""https://docs.google.com/spreadsheets/d/1SX6NBoVAgQJ6U1MVXOaj8PK2l7WJ3RER9xtqwdhxkhw/edit?usp=sharing"",""เพชรบุรี!J385"")"),4)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IFERROR(__xludf.DUMMYFUNCTION("IMPORTRANGE(""https://docs.google.com/spreadsheets/d/1SX6NBoVAgQJ6U1MVXOaj8PK2l7WJ3RER9xtqwdhxkhw/edit?usp=sharing"",""เพชรบุรี!I386"")"),0)</f>
        <v>0</v>
      </c>
      <c r="J491" s="189">
        <f ca="1">IFERROR(__xludf.DUMMYFUNCTION("IMPORTRANGE(""https://docs.google.com/spreadsheets/d/1SX6NBoVAgQJ6U1MVXOaj8PK2l7WJ3RER9xtqwdhxkhw/edit?usp=sharing"",""เพชรบุรี!J386"")"),0)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IFERROR(__xludf.DUMMYFUNCTION("IMPORTRANGE(""https://docs.google.com/spreadsheets/d/1SX6NBoVAgQJ6U1MVXOaj8PK2l7WJ3RER9xtqwdhxkhw/edit?usp=sharing"",""เพชรบุรี!I387"")"),0)</f>
        <v>0</v>
      </c>
      <c r="J492" s="189">
        <f ca="1">IFERROR(__xludf.DUMMYFUNCTION("IMPORTRANGE(""https://docs.google.com/spreadsheets/d/1SX6NBoVAgQJ6U1MVXOaj8PK2l7WJ3RER9xtqwdhxkhw/edit?usp=sharing"",""เพชรบุรี!J387"")"),0)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IFERROR(__xludf.DUMMYFUNCTION("IMPORTRANGE(""https://docs.google.com/spreadsheets/d/1SX6NBoVAgQJ6U1MVXOaj8PK2l7WJ3RER9xtqwdhxkhw/edit?usp=sharing"",""เพชรบุรี!I388"")"),0)</f>
        <v>0</v>
      </c>
      <c r="J493" s="189">
        <f ca="1">IFERROR(__xludf.DUMMYFUNCTION("IMPORTRANGE(""https://docs.google.com/spreadsheets/d/1SX6NBoVAgQJ6U1MVXOaj8PK2l7WJ3RER9xtqwdhxkhw/edit?usp=sharing"",""เพชรบุรี!J388"")"),0)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IFERROR(__xludf.DUMMYFUNCTION("IMPORTRANGE(""https://docs.google.com/spreadsheets/d/1SX6NBoVAgQJ6U1MVXOaj8PK2l7WJ3RER9xtqwdhxkhw/edit?usp=sharing"",""เพชรบุรี!J392"")"),504)</f>
        <v>504</v>
      </c>
      <c r="K497" s="444">
        <f t="shared" ca="1" si="117"/>
        <v>94.55909943714822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IFERROR(__xludf.DUMMYFUNCTION("IMPORTRANGE(""https://docs.google.com/spreadsheets/d/1SX6NBoVAgQJ6U1MVXOaj8PK2l7WJ3RER9xtqwdhxkhw/edit?usp=sharing"",""เพชรบุรี!J393"")"),504)</f>
        <v>504</v>
      </c>
      <c r="K498" s="202">
        <f t="shared" ca="1" si="117"/>
        <v>94.55909943714822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IFERROR(__xludf.DUMMYFUNCTION("IMPORTRANGE(""https://docs.google.com/spreadsheets/d/1SX6NBoVAgQJ6U1MVXOaj8PK2l7WJ3RER9xtqwdhxkhw/edit?usp=sharing"",""เพชรบุรี!J394"")"),101)</f>
        <v>101</v>
      </c>
      <c r="K499" s="202">
        <f t="shared" ca="1" si="117"/>
        <v>74.264705882352942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IFERROR(__xludf.DUMMYFUNCTION("IMPORTRANGE(""https://docs.google.com/spreadsheets/d/1SX6NBoVAgQJ6U1MVXOaj8PK2l7WJ3RER9xtqwdhxkhw/edit?usp=sharing"",""เพชรบุรี!I395"")"),0)</f>
        <v>0</v>
      </c>
      <c r="J500" s="162">
        <f ca="1">IFERROR(__xludf.DUMMYFUNCTION("IMPORTRANGE(""https://docs.google.com/spreadsheets/d/1SX6NBoVAgQJ6U1MVXOaj8PK2l7WJ3RER9xtqwdhxkhw/edit?usp=sharing"",""เพชรบุรี!J395"")"),0)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IFERROR(__xludf.DUMMYFUNCTION("IMPORTRANGE(""https://docs.google.com/spreadsheets/d/1SX6NBoVAgQJ6U1MVXOaj8PK2l7WJ3RER9xtqwdhxkhw/edit?usp=sharing"",""เพชรบุรี!I396"")"),0)</f>
        <v>0</v>
      </c>
      <c r="J501" s="162">
        <f ca="1">IFERROR(__xludf.DUMMYFUNCTION("IMPORTRANGE(""https://docs.google.com/spreadsheets/d/1SX6NBoVAgQJ6U1MVXOaj8PK2l7WJ3RER9xtqwdhxkhw/edit?usp=sharing"",""เพชรบุรี!J396"")"),0)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IFERROR(__xludf.DUMMYFUNCTION("IMPORTRANGE(""https://docs.google.com/spreadsheets/d/1SX6NBoVAgQJ6U1MVXOaj8PK2l7WJ3RER9xtqwdhxkhw/edit?usp=sharing"",""เพชรบุรี!I397"")"),0)</f>
        <v>0</v>
      </c>
      <c r="J502" s="189">
        <f ca="1">IFERROR(__xludf.DUMMYFUNCTION("IMPORTRANGE(""https://docs.google.com/spreadsheets/d/1SX6NBoVAgQJ6U1MVXOaj8PK2l7WJ3RER9xtqwdhxkhw/edit?usp=sharing"",""เพชรบุรี!J397"")"),0)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IFERROR(__xludf.DUMMYFUNCTION("IMPORTRANGE(""https://docs.google.com/spreadsheets/d/1SX6NBoVAgQJ6U1MVXOaj8PK2l7WJ3RER9xtqwdhxkhw/edit?usp=sharing"",""เพชรบุรี!I398"")"),0)</f>
        <v>0</v>
      </c>
      <c r="J503" s="198">
        <f ca="1">IFERROR(__xludf.DUMMYFUNCTION("IMPORTRANGE(""https://docs.google.com/spreadsheets/d/1SX6NBoVAgQJ6U1MVXOaj8PK2l7WJ3RER9xtqwdhxkhw/edit?usp=sharing"",""เพชรบุรี!J398"")"),0)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IFERROR(__xludf.DUMMYFUNCTION("IMPORTRANGE(""https://docs.google.com/spreadsheets/d/1SX6NBoVAgQJ6U1MVXOaj8PK2l7WJ3RER9xtqwdhxkhw/edit?usp=sharing"",""เพชรบุรี!I399"")"),0)</f>
        <v>0</v>
      </c>
      <c r="J504" s="189">
        <f ca="1">IFERROR(__xludf.DUMMYFUNCTION("IMPORTRANGE(""https://docs.google.com/spreadsheets/d/1SX6NBoVAgQJ6U1MVXOaj8PK2l7WJ3RER9xtqwdhxkhw/edit?usp=sharing"",""เพชรบุรี!J399"")"),0)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IFERROR(__xludf.DUMMYFUNCTION("IMPORTRANGE(""https://docs.google.com/spreadsheets/d/1SX6NBoVAgQJ6U1MVXOaj8PK2l7WJ3RER9xtqwdhxkhw/edit?usp=sharing"",""เพชรบุรี!I400"")"),0)</f>
        <v>0</v>
      </c>
      <c r="J505" s="198">
        <f ca="1">IFERROR(__xludf.DUMMYFUNCTION("IMPORTRANGE(""https://docs.google.com/spreadsheets/d/1SX6NBoVAgQJ6U1MVXOaj8PK2l7WJ3RER9xtqwdhxkhw/edit?usp=sharing"",""เพชรบุรี!J400"")"),0)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IFERROR(__xludf.DUMMYFUNCTION("IMPORTRANGE(""https://docs.google.com/spreadsheets/d/1SX6NBoVAgQJ6U1MVXOaj8PK2l7WJ3RER9xtqwdhxkhw/edit?usp=sharing"",""เพชรบุรี!I401"")"),0)</f>
        <v>0</v>
      </c>
      <c r="J506" s="189">
        <f ca="1">IFERROR(__xludf.DUMMYFUNCTION("IMPORTRANGE(""https://docs.google.com/spreadsheets/d/1SX6NBoVAgQJ6U1MVXOaj8PK2l7WJ3RER9xtqwdhxkhw/edit?usp=sharing"",""เพชรบุรี!J401"")"),0)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IFERROR(__xludf.DUMMYFUNCTION("IMPORTRANGE(""https://docs.google.com/spreadsheets/d/1SX6NBoVAgQJ6U1MVXOaj8PK2l7WJ3RER9xtqwdhxkhw/edit?usp=sharing"",""เพชรบุรี!I402"")"),0)</f>
        <v>0</v>
      </c>
      <c r="J507" s="198">
        <f ca="1">IFERROR(__xludf.DUMMYFUNCTION("IMPORTRANGE(""https://docs.google.com/spreadsheets/d/1SX6NBoVAgQJ6U1MVXOaj8PK2l7WJ3RER9xtqwdhxkhw/edit?usp=sharing"",""เพชรบุรี!J402"")"),0)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IFERROR(__xludf.DUMMYFUNCTION("IMPORTRANGE(""https://docs.google.com/spreadsheets/d/1SX6NBoVAgQJ6U1MVXOaj8PK2l7WJ3RER9xtqwdhxkhw/edit?usp=sharing"",""เพชรบุรี!I403"")"),0)</f>
        <v>0</v>
      </c>
      <c r="J508" s="162">
        <f ca="1">IFERROR(__xludf.DUMMYFUNCTION("IMPORTRANGE(""https://docs.google.com/spreadsheets/d/1SX6NBoVAgQJ6U1MVXOaj8PK2l7WJ3RER9xtqwdhxkhw/edit?usp=sharing"",""เพชรบุรี!J403"")"),0)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IFERROR(__xludf.DUMMYFUNCTION("IMPORTRANGE(""https://docs.google.com/spreadsheets/d/1SX6NBoVAgQJ6U1MVXOaj8PK2l7WJ3RER9xtqwdhxkhw/edit?usp=sharing"",""เพชรบุรี!I404"")"),0)</f>
        <v>0</v>
      </c>
      <c r="J509" s="162">
        <f ca="1">IFERROR(__xludf.DUMMYFUNCTION("IMPORTRANGE(""https://docs.google.com/spreadsheets/d/1SX6NBoVAgQJ6U1MVXOaj8PK2l7WJ3RER9xtqwdhxkhw/edit?usp=sharing"",""เพชรบุรี!J404"")"),0)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IFERROR(__xludf.DUMMYFUNCTION("IMPORTRANGE(""https://docs.google.com/spreadsheets/d/1SX6NBoVAgQJ6U1MVXOaj8PK2l7WJ3RER9xtqwdhxkhw/edit?usp=sharing"",""เพชรบุรี!I405"")"),0)</f>
        <v>0</v>
      </c>
      <c r="J510" s="198">
        <f ca="1">IFERROR(__xludf.DUMMYFUNCTION("IMPORTRANGE(""https://docs.google.com/spreadsheets/d/1SX6NBoVAgQJ6U1MVXOaj8PK2l7WJ3RER9xtqwdhxkhw/edit?usp=sharing"",""เพชรบุรี!J405"")"),0)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IFERROR(__xludf.DUMMYFUNCTION("IMPORTRANGE(""https://docs.google.com/spreadsheets/d/1SX6NBoVAgQJ6U1MVXOaj8PK2l7WJ3RER9xtqwdhxkhw/edit?usp=sharing"",""เพชรบุรี!I406"")"),0)</f>
        <v>0</v>
      </c>
      <c r="J511" s="198">
        <f ca="1">IFERROR(__xludf.DUMMYFUNCTION("IMPORTRANGE(""https://docs.google.com/spreadsheets/d/1SX6NBoVAgQJ6U1MVXOaj8PK2l7WJ3RER9xtqwdhxkhw/edit?usp=sharing"",""เพชรบุรี!J406"")"),0)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IFERROR(__xludf.DUMMYFUNCTION("IMPORTRANGE(""https://docs.google.com/spreadsheets/d/1SX6NBoVAgQJ6U1MVXOaj8PK2l7WJ3RER9xtqwdhxkhw/edit?usp=sharing"",""เพชรบุรี!I407"")"),0)</f>
        <v>0</v>
      </c>
      <c r="J512" s="198">
        <f ca="1">IFERROR(__xludf.DUMMYFUNCTION("IMPORTRANGE(""https://docs.google.com/spreadsheets/d/1SX6NBoVAgQJ6U1MVXOaj8PK2l7WJ3RER9xtqwdhxkhw/edit?usp=sharing"",""เพชรบุรี!J407"")"),0)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IFERROR(__xludf.DUMMYFUNCTION("IMPORTRANGE(""https://docs.google.com/spreadsheets/d/1SX6NBoVAgQJ6U1MVXOaj8PK2l7WJ3RER9xtqwdhxkhw/edit?usp=sharing"",""เพชรบุรี!I408"")"),0)</f>
        <v>0</v>
      </c>
      <c r="J513" s="198">
        <f ca="1">IFERROR(__xludf.DUMMYFUNCTION("IMPORTRANGE(""https://docs.google.com/spreadsheets/d/1SX6NBoVAgQJ6U1MVXOaj8PK2l7WJ3RER9xtqwdhxkhw/edit?usp=sharing"",""เพชรบุรี!J408"")"),0)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IFERROR(__xludf.DUMMYFUNCTION("IMPORTRANGE(""https://docs.google.com/spreadsheets/d/1SX6NBoVAgQJ6U1MVXOaj8PK2l7WJ3RER9xtqwdhxkhw/edit?usp=sharing"",""เพชรบุรี!I409"")"),0)</f>
        <v>0</v>
      </c>
      <c r="J514" s="198">
        <f ca="1">IFERROR(__xludf.DUMMYFUNCTION("IMPORTRANGE(""https://docs.google.com/spreadsheets/d/1SX6NBoVAgQJ6U1MVXOaj8PK2l7WJ3RER9xtqwdhxkhw/edit?usp=sharing"",""เพชรบุรี!J409"")"),504)</f>
        <v>504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IFERROR(__xludf.DUMMYFUNCTION("IMPORTRANGE(""https://docs.google.com/spreadsheets/d/1SX6NBoVAgQJ6U1MVXOaj8PK2l7WJ3RER9xtqwdhxkhw/edit?usp=sharing"",""เพชรบุรี!I410"")"),0)</f>
        <v>0</v>
      </c>
      <c r="J515" s="198">
        <f ca="1">IFERROR(__xludf.DUMMYFUNCTION("IMPORTRANGE(""https://docs.google.com/spreadsheets/d/1SX6NBoVAgQJ6U1MVXOaj8PK2l7WJ3RER9xtqwdhxkhw/edit?usp=sharing"",""เพชรบุรี!J410"")"),101)</f>
        <v>101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IFERROR(__xludf.DUMMYFUNCTION("IMPORTRANGE(""https://docs.google.com/spreadsheets/d/1SX6NBoVAgQJ6U1MVXOaj8PK2l7WJ3RER9xtqwdhxkhw/edit?usp=sharing"",""เพชรบุรี!I411"")"),0)</f>
        <v>0</v>
      </c>
      <c r="J516" s="268">
        <f ca="1">IFERROR(__xludf.DUMMYFUNCTION("IMPORTRANGE(""https://docs.google.com/spreadsheets/d/1SX6NBoVAgQJ6U1MVXOaj8PK2l7WJ3RER9xtqwdhxkhw/edit?usp=sharing"",""เพชรบุรี!J411"")"),0)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IFERROR(__xludf.DUMMYFUNCTION("IMPORTRANGE(""https://docs.google.com/spreadsheets/d/1SX6NBoVAgQJ6U1MVXOaj8PK2l7WJ3RER9xtqwdhxkhw/edit?usp=sharing"",""เพชรบุรี!I412"")"),0)</f>
        <v>0</v>
      </c>
      <c r="J517" s="285">
        <f ca="1">IFERROR(__xludf.DUMMYFUNCTION("IMPORTRANGE(""https://docs.google.com/spreadsheets/d/1SX6NBoVAgQJ6U1MVXOaj8PK2l7WJ3RER9xtqwdhxkhw/edit?usp=sharing"",""เพชรบุรี!J412"")"),0)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IFERROR(__xludf.DUMMYFUNCTION("IMPORTRANGE(""https://docs.google.com/spreadsheets/d/1SX6NBoVAgQJ6U1MVXOaj8PK2l7WJ3RER9xtqwdhxkhw/edit?usp=sharing"",""เพชรบุรี!I413"")"),0)</f>
        <v>0</v>
      </c>
      <c r="J518" s="285">
        <f ca="1">IFERROR(__xludf.DUMMYFUNCTION("IMPORTRANGE(""https://docs.google.com/spreadsheets/d/1SX6NBoVAgQJ6U1MVXOaj8PK2l7WJ3RER9xtqwdhxkhw/edit?usp=sharing"",""เพชรบุรี!J413"")"),0)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IFERROR(__xludf.DUMMYFUNCTION("IMPORTRANGE(""https://docs.google.com/spreadsheets/d/1SX6NBoVAgQJ6U1MVXOaj8PK2l7WJ3RER9xtqwdhxkhw/edit?usp=sharing"",""เพชรบุรี!I414"")"),0)</f>
        <v>0</v>
      </c>
      <c r="J519" s="188">
        <f ca="1">IFERROR(__xludf.DUMMYFUNCTION("IMPORTRANGE(""https://docs.google.com/spreadsheets/d/1SX6NBoVAgQJ6U1MVXOaj8PK2l7WJ3RER9xtqwdhxkhw/edit?usp=sharing"",""เพชรบุรี!J414"")"),0)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IFERROR(__xludf.DUMMYFUNCTION("IMPORTRANGE(""https://docs.google.com/spreadsheets/d/1SX6NBoVAgQJ6U1MVXOaj8PK2l7WJ3RER9xtqwdhxkhw/edit?usp=sharing"",""เพชรบุรี!I415"")"),0)</f>
        <v>0</v>
      </c>
      <c r="J520" s="188">
        <f ca="1">IFERROR(__xludf.DUMMYFUNCTION("IMPORTRANGE(""https://docs.google.com/spreadsheets/d/1SX6NBoVAgQJ6U1MVXOaj8PK2l7WJ3RER9xtqwdhxkhw/edit?usp=sharing"",""เพชรบุรี!J415"")"),0)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IFERROR(__xludf.DUMMYFUNCTION("IMPORTRANGE(""https://docs.google.com/spreadsheets/d/1SX6NBoVAgQJ6U1MVXOaj8PK2l7WJ3RER9xtqwdhxkhw/edit?usp=sharing"",""เพชรบุรี!I416"")"),0)</f>
        <v>0</v>
      </c>
      <c r="J521" s="188">
        <f ca="1">IFERROR(__xludf.DUMMYFUNCTION("IMPORTRANGE(""https://docs.google.com/spreadsheets/d/1SX6NBoVAgQJ6U1MVXOaj8PK2l7WJ3RER9xtqwdhxkhw/edit?usp=sharing"",""เพชรบุรี!J416"")"),0)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IFERROR(__xludf.DUMMYFUNCTION("IMPORTRANGE(""https://docs.google.com/spreadsheets/d/1SX6NBoVAgQJ6U1MVXOaj8PK2l7WJ3RER9xtqwdhxkhw/edit?usp=sharing"",""เพชรบุรี!I417"")"),0)</f>
        <v>0</v>
      </c>
      <c r="J522" s="188">
        <f ca="1">IFERROR(__xludf.DUMMYFUNCTION("IMPORTRANGE(""https://docs.google.com/spreadsheets/d/1SX6NBoVAgQJ6U1MVXOaj8PK2l7WJ3RER9xtqwdhxkhw/edit?usp=sharing"",""เพชรบุรี!J417"")"),0)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IFERROR(__xludf.DUMMYFUNCTION("IMPORTRANGE(""https://docs.google.com/spreadsheets/d/1SX6NBoVAgQJ6U1MVXOaj8PK2l7WJ3RER9xtqwdhxkhw/edit?usp=sharing"",""เพชรบุรี!I418"")"),0)</f>
        <v>0</v>
      </c>
      <c r="J523" s="188">
        <f ca="1">IFERROR(__xludf.DUMMYFUNCTION("IMPORTRANGE(""https://docs.google.com/spreadsheets/d/1SX6NBoVAgQJ6U1MVXOaj8PK2l7WJ3RER9xtqwdhxkhw/edit?usp=sharing"",""เพชรบุรี!J418"")"),0)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IFERROR(__xludf.DUMMYFUNCTION("IMPORTRANGE(""https://docs.google.com/spreadsheets/d/1SX6NBoVAgQJ6U1MVXOaj8PK2l7WJ3RER9xtqwdhxkhw/edit?usp=sharing"",""เพชรบุรี!I419"")"),0)</f>
        <v>0</v>
      </c>
      <c r="J524" s="188">
        <f ca="1">IFERROR(__xludf.DUMMYFUNCTION("IMPORTRANGE(""https://docs.google.com/spreadsheets/d/1SX6NBoVAgQJ6U1MVXOaj8PK2l7WJ3RER9xtqwdhxkhw/edit?usp=sharing"",""เพชรบุรี!J419"")"),0)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IFERROR(__xludf.DUMMYFUNCTION("IMPORTRANGE(""https://docs.google.com/spreadsheets/d/1SX6NBoVAgQJ6U1MVXOaj8PK2l7WJ3RER9xtqwdhxkhw/edit?usp=sharing"",""เพชรบุรี!I420"")"),0)</f>
        <v>0</v>
      </c>
      <c r="J525" s="285">
        <f ca="1">IFERROR(__xludf.DUMMYFUNCTION("IMPORTRANGE(""https://docs.google.com/spreadsheets/d/1SX6NBoVAgQJ6U1MVXOaj8PK2l7WJ3RER9xtqwdhxkhw/edit?usp=sharing"",""เพชรบุรี!J420"")"),0)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IFERROR(__xludf.DUMMYFUNCTION("IMPORTRANGE(""https://docs.google.com/spreadsheets/d/1SX6NBoVAgQJ6U1MVXOaj8PK2l7WJ3RER9xtqwdhxkhw/edit?usp=sharing"",""เพชรบุรี!I421"")"),0)</f>
        <v>0</v>
      </c>
      <c r="J526" s="285">
        <f ca="1">IFERROR(__xludf.DUMMYFUNCTION("IMPORTRANGE(""https://docs.google.com/spreadsheets/d/1SX6NBoVAgQJ6U1MVXOaj8PK2l7WJ3RER9xtqwdhxkhw/edit?usp=sharing"",""เพชรบุรี!J421"")"),0)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IFERROR(__xludf.DUMMYFUNCTION("IMPORTRANGE(""https://docs.google.com/spreadsheets/d/1SX6NBoVAgQJ6U1MVXOaj8PK2l7WJ3RER9xtqwdhxkhw/edit?usp=sharing"",""เพชรบุรี!I422"")"),0)</f>
        <v>0</v>
      </c>
      <c r="J527" s="198">
        <f ca="1">IFERROR(__xludf.DUMMYFUNCTION("IMPORTRANGE(""https://docs.google.com/spreadsheets/d/1SX6NBoVAgQJ6U1MVXOaj8PK2l7WJ3RER9xtqwdhxkhw/edit?usp=sharing"",""เพชรบุรี!J422"")"),0)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IFERROR(__xludf.DUMMYFUNCTION("IMPORTRANGE(""https://docs.google.com/spreadsheets/d/1SX6NBoVAgQJ6U1MVXOaj8PK2l7WJ3RER9xtqwdhxkhw/edit?usp=sharing"",""เพชรบุรี!I423"")"),0)</f>
        <v>0</v>
      </c>
      <c r="J528" s="198">
        <f ca="1">IFERROR(__xludf.DUMMYFUNCTION("IMPORTRANGE(""https://docs.google.com/spreadsheets/d/1SX6NBoVAgQJ6U1MVXOaj8PK2l7WJ3RER9xtqwdhxkhw/edit?usp=sharing"",""เพชรบุรี!J423"")"),0)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IFERROR(__xludf.DUMMYFUNCTION("IMPORTRANGE(""https://docs.google.com/spreadsheets/d/1SX6NBoVAgQJ6U1MVXOaj8PK2l7WJ3RER9xtqwdhxkhw/edit?usp=sharing"",""เพชรบุรี!I424"")"),0)</f>
        <v>0</v>
      </c>
      <c r="J529" s="198">
        <f ca="1">IFERROR(__xludf.DUMMYFUNCTION("IMPORTRANGE(""https://docs.google.com/spreadsheets/d/1SX6NBoVAgQJ6U1MVXOaj8PK2l7WJ3RER9xtqwdhxkhw/edit?usp=sharing"",""เพชรบุรี!J424"")"),0)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IFERROR(__xludf.DUMMYFUNCTION("IMPORTRANGE(""https://docs.google.com/spreadsheets/d/1SX6NBoVAgQJ6U1MVXOaj8PK2l7WJ3RER9xtqwdhxkhw/edit?usp=sharing"",""เพชรบุรี!I425"")"),0)</f>
        <v>0</v>
      </c>
      <c r="J530" s="198">
        <f ca="1">IFERROR(__xludf.DUMMYFUNCTION("IMPORTRANGE(""https://docs.google.com/spreadsheets/d/1SX6NBoVAgQJ6U1MVXOaj8PK2l7WJ3RER9xtqwdhxkhw/edit?usp=sharing"",""เพชรบุรี!J425"")"),0)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IFERROR(__xludf.DUMMYFUNCTION("IMPORTRANGE(""https://docs.google.com/spreadsheets/d/1SX6NBoVAgQJ6U1MVXOaj8PK2l7WJ3RER9xtqwdhxkhw/edit?usp=sharing"",""เพชรบุรี!I426"")"),0)</f>
        <v>0</v>
      </c>
      <c r="J531" s="198">
        <f ca="1">IFERROR(__xludf.DUMMYFUNCTION("IMPORTRANGE(""https://docs.google.com/spreadsheets/d/1SX6NBoVAgQJ6U1MVXOaj8PK2l7WJ3RER9xtqwdhxkhw/edit?usp=sharing"",""เพชรบุรี!J426"")"),0)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IFERROR(__xludf.DUMMYFUNCTION("IMPORTRANGE(""https://docs.google.com/spreadsheets/d/1SX6NBoVAgQJ6U1MVXOaj8PK2l7WJ3RER9xtqwdhxkhw/edit?usp=sharing"",""เพชรบุรี!M428"")"),18805)</f>
        <v>18805</v>
      </c>
      <c r="O533" s="412">
        <f t="shared" ref="O533:O537" ca="1" si="118">+IF(L533&gt;0,N533*100/L533,0)</f>
        <v>54.761211415259176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IFERROR(__xludf.DUMMYFUNCTION("IMPORTRANGE(""https://docs.google.com/spreadsheets/d/1SX6NBoVAgQJ6U1MVXOaj8PK2l7WJ3RER9xtqwdhxkhw/edit?usp=sharing"",""เพชรบุรี!L429"")"),0)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IFERROR(__xludf.DUMMYFUNCTION("IMPORTRANGE(""https://docs.google.com/spreadsheets/d/1SX6NBoVAgQJ6U1MVXOaj8PK2l7WJ3RER9xtqwdhxkhw/edit?usp=sharing"",""เพชรบุรี!M429"")"),0)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IFERROR(__xludf.DUMMYFUNCTION("IMPORTRANGE(""https://docs.google.com/spreadsheets/d/1SX6NBoVAgQJ6U1MVXOaj8PK2l7WJ3RER9xtqwdhxkhw/edit?usp=sharing"",""เพชรบุรี!L430"")"),34340)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IFERROR(__xludf.DUMMYFUNCTION("IMPORTRANGE(""https://docs.google.com/spreadsheets/d/1SX6NBoVAgQJ6U1MVXOaj8PK2l7WJ3RER9xtqwdhxkhw/edit?usp=sharing"",""เพชรบุรี!M430"")"),18805)</f>
        <v>18805</v>
      </c>
      <c r="O535" s="169">
        <f t="shared" ca="1" si="118"/>
        <v>54.761211415259176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IFERROR(__xludf.DUMMYFUNCTION("IMPORTRANGE(""https://docs.google.com/spreadsheets/d/1SX6NBoVAgQJ6U1MVXOaj8PK2l7WJ3RER9xtqwdhxkhw/edit?usp=sharing"",""เพชรบุรี!L431"")"),0)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IFERROR(__xludf.DUMMYFUNCTION("IMPORTRANGE(""https://docs.google.com/spreadsheets/d/1SX6NBoVAgQJ6U1MVXOaj8PK2l7WJ3RER9xtqwdhxkhw/edit?usp=sharing"",""เพชรบุรี!M431"")"),0)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IFERROR(__xludf.DUMMYFUNCTION("IMPORTRANGE(""https://docs.google.com/spreadsheets/d/1SX6NBoVAgQJ6U1MVXOaj8PK2l7WJ3RER9xtqwdhxkhw/edit?usp=sharing"",""เพชรบุรี!L432"")"),34340)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IFERROR(__xludf.DUMMYFUNCTION("IMPORTRANGE(""https://docs.google.com/spreadsheets/d/1SX6NBoVAgQJ6U1MVXOaj8PK2l7WJ3RER9xtqwdhxkhw/edit?usp=sharing"",""เพชรบุรี!M432"")"),18805)</f>
        <v>18805</v>
      </c>
      <c r="O537" s="169">
        <f t="shared" ca="1" si="118"/>
        <v>54.761211415259176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IFERROR(__xludf.DUMMYFUNCTION("IMPORTRANGE(""https://docs.google.com/spreadsheets/d/1SX6NBoVAgQJ6U1MVXOaj8PK2l7WJ3RER9xtqwdhxkhw/edit?usp=sharing"",""เพชรบุรี!M433"")"),18805)</f>
        <v>18805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IFERROR(__xludf.DUMMYFUNCTION("IMPORTRANGE(""https://docs.google.com/spreadsheets/d/1SX6NBoVAgQJ6U1MVXOaj8PK2l7WJ3RER9xtqwdhxkhw/edit?usp=sharing"",""เพชรบุรี!J438"")"),0)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IFERROR(__xludf.DUMMYFUNCTION("IMPORTRANGE(""https://docs.google.com/spreadsheets/d/1SX6NBoVAgQJ6U1MVXOaj8PK2l7WJ3RER9xtqwdhxkhw/edit?usp=sharing"",""เพชรบุรี!J439"")"),1)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IFERROR(__xludf.DUMMYFUNCTION("IMPORTRANGE(""https://docs.google.com/spreadsheets/d/1SX6NBoVAgQJ6U1MVXOaj8PK2l7WJ3RER9xtqwdhxkhw/edit?usp=sharing"",""เพชรบุรี!J440"")"),1)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IFERROR(__xludf.DUMMYFUNCTION("IMPORTRANGE(""https://docs.google.com/spreadsheets/d/1SX6NBoVAgQJ6U1MVXOaj8PK2l7WJ3RER9xtqwdhxkhw/edit?usp=sharing"",""เพชรบุรี!J441"")"),1)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IFERROR(__xludf.DUMMYFUNCTION("IMPORTRANGE(""https://docs.google.com/spreadsheets/d/1SX6NBoVAgQJ6U1MVXOaj8PK2l7WJ3RER9xtqwdhxkhw/edit?usp=sharing"",""เพชรบุรี!I442"")"),22)</f>
        <v>22</v>
      </c>
      <c r="J547" s="189">
        <f ca="1">IFERROR(__xludf.DUMMYFUNCTION("IMPORTRANGE(""https://docs.google.com/spreadsheets/d/1SX6NBoVAgQJ6U1MVXOaj8PK2l7WJ3RER9xtqwdhxkhw/edit?usp=sharing"",""เพชรบุรี!J442"")"),22)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IFERROR(__xludf.DUMMYFUNCTION("IMPORTRANGE(""https://docs.google.com/spreadsheets/d/1SX6NBoVAgQJ6U1MVXOaj8PK2l7WJ3RER9xtqwdhxkhw/edit?usp=sharing"",""เพชรบุรี!J166"")"),0)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IFERROR(__xludf.DUMMYFUNCTION("IMPORTRANGE(""https://docs.google.com/spreadsheets/d/1SX6NBoVAgQJ6U1MVXOaj8PK2l7WJ3RER9xtqwdhxkhw/edit?usp=sharing"",""เพชรบุรี!J444"")"),0)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IFERROR(__xludf.DUMMYFUNCTION("IMPORTRANGE(""https://docs.google.com/spreadsheets/d/1SX6NBoVAgQJ6U1MVXOaj8PK2l7WJ3RER9xtqwdhxkhw/edit?usp=sharing"",""เพชรบุรี!L447"")"),0)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IFERROR(__xludf.DUMMYFUNCTION("IMPORTRANGE(""https://docs.google.com/spreadsheets/d/1SX6NBoVAgQJ6U1MVXOaj8PK2l7WJ3RER9xtqwdhxkhw/edit?usp=sharing"",""เพชรบุรี!M447"")"),0)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IFERROR(__xludf.DUMMYFUNCTION("IMPORTRANGE(""https://docs.google.com/spreadsheets/d/1SX6NBoVAgQJ6U1MVXOaj8PK2l7WJ3RER9xtqwdhxkhw/edit?usp=sharing"",""เพชรบุรี!L448"")"),0)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IFERROR(__xludf.DUMMYFUNCTION("IMPORTRANGE(""https://docs.google.com/spreadsheets/d/1SX6NBoVAgQJ6U1MVXOaj8PK2l7WJ3RER9xtqwdhxkhw/edit?usp=sharing"",""เพชรบุรี!M448"")"),0)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IFERROR(__xludf.DUMMYFUNCTION("IMPORTRANGE(""https://docs.google.com/spreadsheets/d/1SX6NBoVAgQJ6U1MVXOaj8PK2l7WJ3RER9xtqwdhxkhw/edit?usp=sharing"",""เพชรบุรี!L449"")"),0)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IFERROR(__xludf.DUMMYFUNCTION("IMPORTRANGE(""https://docs.google.com/spreadsheets/d/1SX6NBoVAgQJ6U1MVXOaj8PK2l7WJ3RER9xtqwdhxkhw/edit?usp=sharing"",""เพชรบุรี!M449"")"),0)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IFERROR(__xludf.DUMMYFUNCTION("IMPORTRANGE(""https://docs.google.com/spreadsheets/d/1SX6NBoVAgQJ6U1MVXOaj8PK2l7WJ3RER9xtqwdhxkhw/edit?usp=sharing"",""เพชรบุรี!L450"")"),0)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IFERROR(__xludf.DUMMYFUNCTION("IMPORTRANGE(""https://docs.google.com/spreadsheets/d/1SX6NBoVAgQJ6U1MVXOaj8PK2l7WJ3RER9xtqwdhxkhw/edit?usp=sharing"",""เพชรบุรี!M450"")"),0)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IFERROR(__xludf.DUMMYFUNCTION("IMPORTRANGE(""https://docs.google.com/spreadsheets/d/1SX6NBoVAgQJ6U1MVXOaj8PK2l7WJ3RER9xtqwdhxkhw/edit?usp=sharing"",""เพชรบุรี!M451"")"),0)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IFERROR(__xludf.DUMMYFUNCTION("IMPORTRANGE(""https://docs.google.com/spreadsheets/d/1SX6NBoVAgQJ6U1MVXOaj8PK2l7WJ3RER9xtqwdhxkhw/edit?usp=sharing"",""เพชรบุรี!M452"")"),0)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IFERROR(__xludf.DUMMYFUNCTION("IMPORTRANGE(""https://docs.google.com/spreadsheets/d/1SX6NBoVAgQJ6U1MVXOaj8PK2l7WJ3RER9xtqwdhxkhw/edit?usp=sharing"",""เพชรบุรี!M453"")"),0)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IFERROR(__xludf.DUMMYFUNCTION("IMPORTRANGE(""https://docs.google.com/spreadsheets/d/1SX6NBoVAgQJ6U1MVXOaj8PK2l7WJ3RER9xtqwdhxkhw/edit?usp=sharing"",""เพชรบุรี!M454"")"),0)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IFERROR(__xludf.DUMMYFUNCTION("IMPORTRANGE(""https://docs.google.com/spreadsheets/d/1SX6NBoVAgQJ6U1MVXOaj8PK2l7WJ3RER9xtqwdhxkhw/edit?usp=sharing"",""เพชรบุรี!I455"")"),0)</f>
        <v>0</v>
      </c>
      <c r="J560" s="162">
        <f ca="1">IFERROR(__xludf.DUMMYFUNCTION("IMPORTRANGE(""https://docs.google.com/spreadsheets/d/1SX6NBoVAgQJ6U1MVXOaj8PK2l7WJ3RER9xtqwdhxkhw/edit?usp=sharing"",""เพชรบุรี!J455"")"),0)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IFERROR(__xludf.DUMMYFUNCTION("IMPORTRANGE(""https://docs.google.com/spreadsheets/d/1SX6NBoVAgQJ6U1MVXOaj8PK2l7WJ3RER9xtqwdhxkhw/edit?usp=sharing"",""เพชรบุรี!I456"")"),0)</f>
        <v>0</v>
      </c>
      <c r="J561" s="204">
        <f ca="1">IFERROR(__xludf.DUMMYFUNCTION("IMPORTRANGE(""https://docs.google.com/spreadsheets/d/1SX6NBoVAgQJ6U1MVXOaj8PK2l7WJ3RER9xtqwdhxkhw/edit?usp=sharing"",""เพชรบุรี!J456"")"),0)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IFERROR(__xludf.DUMMYFUNCTION("IMPORTRANGE(""https://docs.google.com/spreadsheets/d/1SX6NBoVAgQJ6U1MVXOaj8PK2l7WJ3RER9xtqwdhxkhw/edit?usp=sharing"",""เพชรบุรี!J459"")"),429)</f>
        <v>429</v>
      </c>
      <c r="K564" s="372">
        <f ca="1">IF(I564&gt;0,J564*100/I564,0)</f>
        <v>286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IFERROR(__xludf.DUMMYFUNCTION("IMPORTRANGE(""https://docs.google.com/spreadsheets/d/1SX6NBoVAgQJ6U1MVXOaj8PK2l7WJ3RER9xtqwdhxkhw/edit?usp=sharing"",""เพชรบุรี!M459"")"),76633)</f>
        <v>76633</v>
      </c>
      <c r="O564" s="373">
        <f t="shared" ref="O564:O568" ca="1" si="122">+IF(L564&gt;0,N564*100/L564,0)</f>
        <v>62.608660130718953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IFERROR(__xludf.DUMMYFUNCTION("IMPORTRANGE(""https://docs.google.com/spreadsheets/d/1SX6NBoVAgQJ6U1MVXOaj8PK2l7WJ3RER9xtqwdhxkhw/edit?usp=sharing"",""เพชรบุรี!L460"")"),0)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IFERROR(__xludf.DUMMYFUNCTION("IMPORTRANGE(""https://docs.google.com/spreadsheets/d/1SX6NBoVAgQJ6U1MVXOaj8PK2l7WJ3RER9xtqwdhxkhw/edit?usp=sharing"",""เพชรบุรี!M460"")"),0)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IFERROR(__xludf.DUMMYFUNCTION("IMPORTRANGE(""https://docs.google.com/spreadsheets/d/1SX6NBoVAgQJ6U1MVXOaj8PK2l7WJ3RER9xtqwdhxkhw/edit?usp=sharing"",""เพชรบุรี!L461"")"),122400)</f>
        <v>122400</v>
      </c>
      <c r="M566" s="165"/>
      <c r="N566" s="169">
        <f ca="1">IFERROR(__xludf.DUMMYFUNCTION("IMPORTRANGE(""https://docs.google.com/spreadsheets/d/1SX6NBoVAgQJ6U1MVXOaj8PK2l7WJ3RER9xtqwdhxkhw/edit?usp=sharing"",""เพชรบุรี!M461"")"),76633)</f>
        <v>76633</v>
      </c>
      <c r="O566" s="169">
        <f t="shared" ca="1" si="122"/>
        <v>62.608660130718953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IFERROR(__xludf.DUMMYFUNCTION("IMPORTRANGE(""https://docs.google.com/spreadsheets/d/1SX6NBoVAgQJ6U1MVXOaj8PK2l7WJ3RER9xtqwdhxkhw/edit?usp=sharing"",""เพชรบุรี!L462"")"),0)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IFERROR(__xludf.DUMMYFUNCTION("IMPORTRANGE(""https://docs.google.com/spreadsheets/d/1SX6NBoVAgQJ6U1MVXOaj8PK2l7WJ3RER9xtqwdhxkhw/edit?usp=sharing"",""เพชรบุรี!M462"")"),0)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IFERROR(__xludf.DUMMYFUNCTION("IMPORTRANGE(""https://docs.google.com/spreadsheets/d/1SX6NBoVAgQJ6U1MVXOaj8PK2l7WJ3RER9xtqwdhxkhw/edit?usp=sharing"",""เพชรบุรี!L463"")"),122400)</f>
        <v>122400</v>
      </c>
      <c r="M568" s="169"/>
      <c r="N568" s="169">
        <f ca="1">IFERROR(__xludf.DUMMYFUNCTION("IMPORTRANGE(""https://docs.google.com/spreadsheets/d/1SX6NBoVAgQJ6U1MVXOaj8PK2l7WJ3RER9xtqwdhxkhw/edit?usp=sharing"",""เพชรบุรี!M463"")"),76633)</f>
        <v>76633</v>
      </c>
      <c r="O568" s="169">
        <f t="shared" ca="1" si="122"/>
        <v>62.608660130718953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IFERROR(__xludf.DUMMYFUNCTION("IMPORTRANGE(""https://docs.google.com/spreadsheets/d/1SX6NBoVAgQJ6U1MVXOaj8PK2l7WJ3RER9xtqwdhxkhw/edit?usp=sharing"",""เพชรบุรี!M464"")"),0)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IFERROR(__xludf.DUMMYFUNCTION("IMPORTRANGE(""https://docs.google.com/spreadsheets/d/1SX6NBoVAgQJ6U1MVXOaj8PK2l7WJ3RER9xtqwdhxkhw/edit?usp=sharing"",""เพชรบุรี!M465"")"),0)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IFERROR(__xludf.DUMMYFUNCTION("IMPORTRANGE(""https://docs.google.com/spreadsheets/d/1SX6NBoVAgQJ6U1MVXOaj8PK2l7WJ3RER9xtqwdhxkhw/edit?usp=sharing"",""เพชรบุรี!M466"")"),76633)</f>
        <v>76633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IFERROR(__xludf.DUMMYFUNCTION("IMPORTRANGE(""https://docs.google.com/spreadsheets/d/1SX6NBoVAgQJ6U1MVXOaj8PK2l7WJ3RER9xtqwdhxkhw/edit?usp=sharing"",""เพชรบุรี!M467"")"),0)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IFERROR(__xludf.DUMMYFUNCTION("IMPORTRANGE(""https://docs.google.com/spreadsheets/d/1SX6NBoVAgQJ6U1MVXOaj8PK2l7WJ3RER9xtqwdhxkhw/edit?usp=sharing"",""เพชรบุรี!J468"")"),429)</f>
        <v>429</v>
      </c>
      <c r="K573" s="202">
        <f ca="1">IF(I573&gt;0,J573*100/I573,0)</f>
        <v>286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IFERROR(__xludf.DUMMYFUNCTION("IMPORTRANGE(""https://docs.google.com/spreadsheets/d/1SX6NBoVAgQJ6U1MVXOaj8PK2l7WJ3RER9xtqwdhxkhw/edit?usp=sharing"",""เพชรบุรี!I470"")"),0)</f>
        <v>0</v>
      </c>
      <c r="J575" s="198">
        <f ca="1">IFERROR(__xludf.DUMMYFUNCTION("IMPORTRANGE(""https://docs.google.com/spreadsheets/d/1SX6NBoVAgQJ6U1MVXOaj8PK2l7WJ3RER9xtqwdhxkhw/edit?usp=sharing"",""เพชรบุรี!J470"")"),0)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IFERROR(__xludf.DUMMYFUNCTION("IMPORTRANGE(""https://docs.google.com/spreadsheets/d/1SX6NBoVAgQJ6U1MVXOaj8PK2l7WJ3RER9xtqwdhxkhw/edit?usp=sharing"",""เพชรบุรี!I471"")"),0)</f>
        <v>0</v>
      </c>
      <c r="J576" s="198">
        <f ca="1">IFERROR(__xludf.DUMMYFUNCTION("IMPORTRANGE(""https://docs.google.com/spreadsheets/d/1SX6NBoVAgQJ6U1MVXOaj8PK2l7WJ3RER9xtqwdhxkhw/edit?usp=sharing"",""เพชรบุรี!J471"")"),0)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IFERROR(__xludf.DUMMYFUNCTION("IMPORTRANGE(""https://docs.google.com/spreadsheets/d/1SX6NBoVAgQJ6U1MVXOaj8PK2l7WJ3RER9xtqwdhxkhw/edit?usp=sharing"",""เพชรบุรี!I472"")"),0)</f>
        <v>0</v>
      </c>
      <c r="J577" s="189">
        <f ca="1">IFERROR(__xludf.DUMMYFUNCTION("IMPORTRANGE(""https://docs.google.com/spreadsheets/d/1SX6NBoVAgQJ6U1MVXOaj8PK2l7WJ3RER9xtqwdhxkhw/edit?usp=sharing"",""เพชรบุรี!J472"")"),429)</f>
        <v>429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IFERROR(__xludf.DUMMYFUNCTION("IMPORTRANGE(""https://docs.google.com/spreadsheets/d/1SX6NBoVAgQJ6U1MVXOaj8PK2l7WJ3RER9xtqwdhxkhw/edit?usp=sharing"",""เพชรบุรี!I473"")"),0)</f>
        <v>0</v>
      </c>
      <c r="J578" s="198">
        <f ca="1">IFERROR(__xludf.DUMMYFUNCTION("IMPORTRANGE(""https://docs.google.com/spreadsheets/d/1SX6NBoVAgQJ6U1MVXOaj8PK2l7WJ3RER9xtqwdhxkhw/edit?usp=sharing"",""เพชรบุรี!J473"")"),0)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IFERROR(__xludf.DUMMYFUNCTION("IMPORTRANGE(""https://docs.google.com/spreadsheets/d/1SX6NBoVAgQJ6U1MVXOaj8PK2l7WJ3RER9xtqwdhxkhw/edit?usp=sharing"",""เพชรบุรี!I474"")"),0)</f>
        <v>0</v>
      </c>
      <c r="J579" s="198">
        <f ca="1">IFERROR(__xludf.DUMMYFUNCTION("IMPORTRANGE(""https://docs.google.com/spreadsheets/d/1SX6NBoVAgQJ6U1MVXOaj8PK2l7WJ3RER9xtqwdhxkhw/edit?usp=sharing"",""เพชรบุรี!J474"")"),0)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IFERROR(__xludf.DUMMYFUNCTION("IMPORTRANGE(""https://docs.google.com/spreadsheets/d/1SX6NBoVAgQJ6U1MVXOaj8PK2l7WJ3RER9xtqwdhxkhw/edit?usp=sharing"",""เพชรบุรี!L476"")"),0)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IFERROR(__xludf.DUMMYFUNCTION("IMPORTRANGE(""https://docs.google.com/spreadsheets/d/1SX6NBoVAgQJ6U1MVXOaj8PK2l7WJ3RER9xtqwdhxkhw/edit?usp=sharing"",""เพชรบุรี!M476"")"),0)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IFERROR(__xludf.DUMMYFUNCTION("IMPORTRANGE(""https://docs.google.com/spreadsheets/d/1SX6NBoVAgQJ6U1MVXOaj8PK2l7WJ3RER9xtqwdhxkhw/edit?usp=sharing"",""เพชรบุรี!L477"")"),0)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IFERROR(__xludf.DUMMYFUNCTION("IMPORTRANGE(""https://docs.google.com/spreadsheets/d/1SX6NBoVAgQJ6U1MVXOaj8PK2l7WJ3RER9xtqwdhxkhw/edit?usp=sharing"",""เพชรบุรี!M477"")"),0)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IFERROR(__xludf.DUMMYFUNCTION("IMPORTRANGE(""https://docs.google.com/spreadsheets/d/1SX6NBoVAgQJ6U1MVXOaj8PK2l7WJ3RER9xtqwdhxkhw/edit?usp=sharing"",""เพชรบุรี!L478"")"),0)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IFERROR(__xludf.DUMMYFUNCTION("IMPORTRANGE(""https://docs.google.com/spreadsheets/d/1SX6NBoVAgQJ6U1MVXOaj8PK2l7WJ3RER9xtqwdhxkhw/edit?usp=sharing"",""เพชรบุรี!M478"")"),0)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IFERROR(__xludf.DUMMYFUNCTION("IMPORTRANGE(""https://docs.google.com/spreadsheets/d/1SX6NBoVAgQJ6U1MVXOaj8PK2l7WJ3RER9xtqwdhxkhw/edit?usp=sharing"",""เพชรบุรี!L479"")"),0)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IFERROR(__xludf.DUMMYFUNCTION("IMPORTRANGE(""https://docs.google.com/spreadsheets/d/1SX6NBoVAgQJ6U1MVXOaj8PK2l7WJ3RER9xtqwdhxkhw/edit?usp=sharing"",""เพชรบุรี!M479"")"),0)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IFERROR(__xludf.DUMMYFUNCTION("IMPORTRANGE(""https://docs.google.com/spreadsheets/d/1SX6NBoVAgQJ6U1MVXOaj8PK2l7WJ3RER9xtqwdhxkhw/edit?usp=sharing"",""เพชรบุรี!M480"")"),0)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IFERROR(__xludf.DUMMYFUNCTION("IMPORTRANGE(""https://docs.google.com/spreadsheets/d/1SX6NBoVAgQJ6U1MVXOaj8PK2l7WJ3RER9xtqwdhxkhw/edit?usp=sharing"",""เพชรบุรี!M481"")"),0)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IFERROR(__xludf.DUMMYFUNCTION("IMPORTRANGE(""https://docs.google.com/spreadsheets/d/1SX6NBoVAgQJ6U1MVXOaj8PK2l7WJ3RER9xtqwdhxkhw/edit?usp=sharing"",""เพชรบุรี!M482"")"),0)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IFERROR(__xludf.DUMMYFUNCTION("IMPORTRANGE(""https://docs.google.com/spreadsheets/d/1SX6NBoVAgQJ6U1MVXOaj8PK2l7WJ3RER9xtqwdhxkhw/edit?usp=sharing"",""เพชรบุรี!M483"")"),0)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IFERROR(__xludf.DUMMYFUNCTION("IMPORTRANGE(""https://docs.google.com/spreadsheets/d/1SX6NBoVAgQJ6U1MVXOaj8PK2l7WJ3RER9xtqwdhxkhw/edit?usp=sharing"",""เพชรบุรี!I484"")"),0)</f>
        <v>0</v>
      </c>
      <c r="J589" s="188">
        <f ca="1">IFERROR(__xludf.DUMMYFUNCTION("IMPORTRANGE(""https://docs.google.com/spreadsheets/d/1SX6NBoVAgQJ6U1MVXOaj8PK2l7WJ3RER9xtqwdhxkhw/edit?usp=sharing"",""เพชรบุรี!J484"")"),0)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8">
        <f ca="1">IFERROR(__xludf.DUMMYFUNCTION("IMPORTRANGE(""https://docs.google.com/spreadsheets/d/1SX6NBoVAgQJ6U1MVXOaj8PK2l7WJ3RER9xtqwdhxkhw/edit?usp=sharing"",""เพชรบุรี!J485"")"),0)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IFERROR(__xludf.DUMMYFUNCTION("IMPORTRANGE(""https://docs.google.com/spreadsheets/d/1SX6NBoVAgQJ6U1MVXOaj8PK2l7WJ3RER9xtqwdhxkhw/edit?usp=sharing"",""เพชรบุรี!I486"")"),0)</f>
        <v>0</v>
      </c>
      <c r="J591" s="188">
        <f ca="1">IFERROR(__xludf.DUMMYFUNCTION("IMPORTRANGE(""https://docs.google.com/spreadsheets/d/1SX6NBoVAgQJ6U1MVXOaj8PK2l7WJ3RER9xtqwdhxkhw/edit?usp=sharing"",""เพชรบุรี!J486"")"),0)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8">
        <f ca="1">IFERROR(__xludf.DUMMYFUNCTION("IMPORTRANGE(""https://docs.google.com/spreadsheets/d/1SX6NBoVAgQJ6U1MVXOaj8PK2l7WJ3RER9xtqwdhxkhw/edit?usp=sharing"",""เพชรบุรี!J487"")"),0)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IFERROR(__xludf.DUMMYFUNCTION("IMPORTRANGE(""https://docs.google.com/spreadsheets/d/1SX6NBoVAgQJ6U1MVXOaj8PK2l7WJ3RER9xtqwdhxkhw/edit?usp=sharing"",""เพชรบุรี!I488"")"),0)</f>
        <v>0</v>
      </c>
      <c r="J593" s="188">
        <f ca="1">IFERROR(__xludf.DUMMYFUNCTION("IMPORTRANGE(""https://docs.google.com/spreadsheets/d/1SX6NBoVAgQJ6U1MVXOaj8PK2l7WJ3RER9xtqwdhxkhw/edit?usp=sharing"",""เพชรบุรี!J488"")"),0)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8">
        <f ca="1">IFERROR(__xludf.DUMMYFUNCTION("IMPORTRANGE(""https://docs.google.com/spreadsheets/d/1SX6NBoVAgQJ6U1MVXOaj8PK2l7WJ3RER9xtqwdhxkhw/edit?usp=sharing"",""เพชรบุรี!J489"")"),0)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IFERROR(__xludf.DUMMYFUNCTION("IMPORTRANGE(""https://docs.google.com/spreadsheets/d/1SX6NBoVAgQJ6U1MVXOaj8PK2l7WJ3RER9xtqwdhxkhw/edit?usp=sharing"",""เพชรบุรี!I490"")"),0)</f>
        <v>0</v>
      </c>
      <c r="J595" s="188">
        <f ca="1">IFERROR(__xludf.DUMMYFUNCTION("IMPORTRANGE(""https://docs.google.com/spreadsheets/d/1SX6NBoVAgQJ6U1MVXOaj8PK2l7WJ3RER9xtqwdhxkhw/edit?usp=sharing"",""เพชรบุรี!J490"")"),0)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IFERROR(__xludf.DUMMYFUNCTION("IMPORTRANGE(""https://docs.google.com/spreadsheets/d/1SX6NBoVAgQJ6U1MVXOaj8PK2l7WJ3RER9xtqwdhxkhw/edit?usp=sharing"",""เพชรบุรี!I491"")"),0)</f>
        <v>0</v>
      </c>
      <c r="J596" s="242">
        <f ca="1">IFERROR(__xludf.DUMMYFUNCTION("IMPORTRANGE(""https://docs.google.com/spreadsheets/d/1SX6NBoVAgQJ6U1MVXOaj8PK2l7WJ3RER9xtqwdhxkhw/edit?usp=sharing"",""เพชรบุรี!J491"")"),0)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7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20.87912087912088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IFERROR(__xludf.DUMMYFUNCTION("IMPORTRANGE(""https://docs.google.com/spreadsheets/d/1SX6NBoVAgQJ6U1MVXOaj8PK2l7WJ3RER9xtqwdhxkhw/edit?usp=sharing"",""เพชรบุรี!L493"")"),0)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IFERROR(__xludf.DUMMYFUNCTION("IMPORTRANGE(""https://docs.google.com/spreadsheets/d/1SX6NBoVAgQJ6U1MVXOaj8PK2l7WJ3RER9xtqwdhxkhw/edit?usp=sharing"",""เพชรบุรี!M493"")"),0)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IFERROR(__xludf.DUMMYFUNCTION("IMPORTRANGE(""https://docs.google.com/spreadsheets/d/1SX6NBoVAgQJ6U1MVXOaj8PK2l7WJ3RER9xtqwdhxkhw/edit?usp=sharing"",""เพชรบุรี!L494"")"),4550)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IFERROR(__xludf.DUMMYFUNCTION("IMPORTRANGE(""https://docs.google.com/spreadsheets/d/1SX6NBoVAgQJ6U1MVXOaj8PK2l7WJ3RER9xtqwdhxkhw/edit?usp=sharing"",""เพชรบุรี!M494"")"),950)</f>
        <v>950</v>
      </c>
      <c r="O599" s="169">
        <f t="shared" ca="1" si="126"/>
        <v>20.87912087912088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IFERROR(__xludf.DUMMYFUNCTION("IMPORTRANGE(""https://docs.google.com/spreadsheets/d/1SX6NBoVAgQJ6U1MVXOaj8PK2l7WJ3RER9xtqwdhxkhw/edit?usp=sharing"",""เพชรบุรี!L495"")"),0)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IFERROR(__xludf.DUMMYFUNCTION("IMPORTRANGE(""https://docs.google.com/spreadsheets/d/1SX6NBoVAgQJ6U1MVXOaj8PK2l7WJ3RER9xtqwdhxkhw/edit?usp=sharing"",""เพชรบุรี!M495"")"),0)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IFERROR(__xludf.DUMMYFUNCTION("IMPORTRANGE(""https://docs.google.com/spreadsheets/d/1SX6NBoVAgQJ6U1MVXOaj8PK2l7WJ3RER9xtqwdhxkhw/edit?usp=sharing"",""เพชรบุรี!L496"")"),4550)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IFERROR(__xludf.DUMMYFUNCTION("IMPORTRANGE(""https://docs.google.com/spreadsheets/d/1SX6NBoVAgQJ6U1MVXOaj8PK2l7WJ3RER9xtqwdhxkhw/edit?usp=sharing"",""เพชรบุรี!M496"")"),950)</f>
        <v>950</v>
      </c>
      <c r="O601" s="169">
        <f t="shared" ca="1" si="126"/>
        <v>20.87912087912088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IFERROR(__xludf.DUMMYFUNCTION("IMPORTRANGE(""https://docs.google.com/spreadsheets/d/1SX6NBoVAgQJ6U1MVXOaj8PK2l7WJ3RER9xtqwdhxkhw/edit?usp=sharing"",""เพชรบุรี!M497"")"),0)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IFERROR(__xludf.DUMMYFUNCTION("IMPORTRANGE(""https://docs.google.com/spreadsheets/d/1SX6NBoVAgQJ6U1MVXOaj8PK2l7WJ3RER9xtqwdhxkhw/edit?usp=sharing"",""เพชรบุรี!M498"")"),0)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IFERROR(__xludf.DUMMYFUNCTION("IMPORTRANGE(""https://docs.google.com/spreadsheets/d/1SX6NBoVAgQJ6U1MVXOaj8PK2l7WJ3RER9xtqwdhxkhw/edit?usp=sharing"",""เพชรบุรี!J502"")"),0)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IFERROR(__xludf.DUMMYFUNCTION("IMPORTRANGE(""https://docs.google.com/spreadsheets/d/1SX6NBoVAgQJ6U1MVXOaj8PK2l7WJ3RER9xtqwdhxkhw/edit?usp=sharing"",""เพชรบุรี!J503"")"),1)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IFERROR(__xludf.DUMMYFUNCTION("IMPORTRANGE(""https://docs.google.com/spreadsheets/d/1SX6NBoVAgQJ6U1MVXOaj8PK2l7WJ3RER9xtqwdhxkhw/edit?usp=sharing"",""เพชรบุรี!J166"")"),0)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IFERROR(__xludf.DUMMYFUNCTION("IMPORTRANGE(""https://docs.google.com/spreadsheets/d/1SX6NBoVAgQJ6U1MVXOaj8PK2l7WJ3RER9xtqwdhxkhw/edit?usp=sharing"",""เพชรบุรี!J166"")"),0)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IFERROR(__xludf.DUMMYFUNCTION("IMPORTRANGE(""https://docs.google.com/spreadsheets/d/1SX6NBoVAgQJ6U1MVXOaj8PK2l7WJ3RER9xtqwdhxkhw/edit?usp=sharing"",""เพชรบุรี!I506"")"),50)</f>
        <v>50</v>
      </c>
      <c r="J611" s="162">
        <f ca="1">IFERROR(__xludf.DUMMYFUNCTION("IMPORTRANGE(""https://docs.google.com/spreadsheets/d/1SX6NBoVAgQJ6U1MVXOaj8PK2l7WJ3RER9xtqwdhxkhw/edit?usp=sharing"",""เพชรบุรี!J506"")"),0)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IFERROR(__xludf.DUMMYFUNCTION("IMPORTRANGE(""https://docs.google.com/spreadsheets/d/1SX6NBoVAgQJ6U1MVXOaj8PK2l7WJ3RER9xtqwdhxkhw/edit?usp=sharing"",""เพชรบุรี!I507"")"),0)</f>
        <v>0</v>
      </c>
      <c r="J612" s="198">
        <f ca="1">IFERROR(__xludf.DUMMYFUNCTION("IMPORTRANGE(""https://docs.google.com/spreadsheets/d/1SX6NBoVAgQJ6U1MVXOaj8PK2l7WJ3RER9xtqwdhxkhw/edit?usp=sharing"",""เพชรบุรี!J507"")"),0)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IFERROR(__xludf.DUMMYFUNCTION("IMPORTRANGE(""https://docs.google.com/spreadsheets/d/1SX6NBoVAgQJ6U1MVXOaj8PK2l7WJ3RER9xtqwdhxkhw/edit?usp=sharing"",""เพชรบุรี!I508"")"),0)</f>
        <v>0</v>
      </c>
      <c r="J613" s="198">
        <f ca="1">IFERROR(__xludf.DUMMYFUNCTION("IMPORTRANGE(""https://docs.google.com/spreadsheets/d/1SX6NBoVAgQJ6U1MVXOaj8PK2l7WJ3RER9xtqwdhxkhw/edit?usp=sharing"",""เพชรบุรี!J508"")"),0)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IFERROR(__xludf.DUMMYFUNCTION("IMPORTRANGE(""https://docs.google.com/spreadsheets/d/1SX6NBoVAgQJ6U1MVXOaj8PK2l7WJ3RER9xtqwdhxkhw/edit?usp=sharing"",""เพชรบุรี!I509"")"),0)</f>
        <v>0</v>
      </c>
      <c r="J614" s="198">
        <f ca="1">IFERROR(__xludf.DUMMYFUNCTION("IMPORTRANGE(""https://docs.google.com/spreadsheets/d/1SX6NBoVAgQJ6U1MVXOaj8PK2l7WJ3RER9xtqwdhxkhw/edit?usp=sharing"",""เพชรบุรี!J509"")"),0)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IFERROR(__xludf.DUMMYFUNCTION("IMPORTRANGE(""https://docs.google.com/spreadsheets/d/1SX6NBoVAgQJ6U1MVXOaj8PK2l7WJ3RER9xtqwdhxkhw/edit?usp=sharing"",""เพชรบุรี!I510"")"),0)</f>
        <v>0</v>
      </c>
      <c r="J615" s="198">
        <f ca="1">IFERROR(__xludf.DUMMYFUNCTION("IMPORTRANGE(""https://docs.google.com/spreadsheets/d/1SX6NBoVAgQJ6U1MVXOaj8PK2l7WJ3RER9xtqwdhxkhw/edit?usp=sharing"",""เพชรบุรี!J510"")"),0)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IFERROR(__xludf.DUMMYFUNCTION("IMPORTRANGE(""https://docs.google.com/spreadsheets/d/1SX6NBoVAgQJ6U1MVXOaj8PK2l7WJ3RER9xtqwdhxkhw/edit?usp=sharing"",""เพชรบุรี!I511"")"),0)</f>
        <v>0</v>
      </c>
      <c r="J616" s="198">
        <f ca="1">IFERROR(__xludf.DUMMYFUNCTION("IMPORTRANGE(""https://docs.google.com/spreadsheets/d/1SX6NBoVAgQJ6U1MVXOaj8PK2l7WJ3RER9xtqwdhxkhw/edit?usp=sharing"",""เพชรบุรี!J511"")"),0)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IFERROR(__xludf.DUMMYFUNCTION("IMPORTRANGE(""https://docs.google.com/spreadsheets/d/1SX6NBoVAgQJ6U1MVXOaj8PK2l7WJ3RER9xtqwdhxkhw/edit?usp=sharing"",""เพชรบุรี!I512"")"),0)</f>
        <v>0</v>
      </c>
      <c r="J617" s="188">
        <f ca="1">IFERROR(__xludf.DUMMYFUNCTION("IMPORTRANGE(""https://docs.google.com/spreadsheets/d/1SX6NBoVAgQJ6U1MVXOaj8PK2l7WJ3RER9xtqwdhxkhw/edit?usp=sharing"",""เพชรบุรี!J512"")"),0)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IFERROR(__xludf.DUMMYFUNCTION("IMPORTRANGE(""https://docs.google.com/spreadsheets/d/1SX6NBoVAgQJ6U1MVXOaj8PK2l7WJ3RER9xtqwdhxkhw/edit?usp=sharing"",""เพชรบุรี!I513"")"),0)</f>
        <v>0</v>
      </c>
      <c r="J618" s="189">
        <f ca="1">IFERROR(__xludf.DUMMYFUNCTION("IMPORTRANGE(""https://docs.google.com/spreadsheets/d/1SX6NBoVAgQJ6U1MVXOaj8PK2l7WJ3RER9xtqwdhxkhw/edit?usp=sharing"",""เพชรบุรี!J513"")"),0)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IFERROR(__xludf.DUMMYFUNCTION("IMPORTRANGE(""https://docs.google.com/spreadsheets/d/1SX6NBoVAgQJ6U1MVXOaj8PK2l7WJ3RER9xtqwdhxkhw/edit?usp=sharing"",""เพชรบุรี!I514"")"),0)</f>
        <v>0</v>
      </c>
      <c r="J619" s="189">
        <f ca="1">IFERROR(__xludf.DUMMYFUNCTION("IMPORTRANGE(""https://docs.google.com/spreadsheets/d/1SX6NBoVAgQJ6U1MVXOaj8PK2l7WJ3RER9xtqwdhxkhw/edit?usp=sharing"",""เพชรบุรี!J514"")"),0)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IFERROR(__xludf.DUMMYFUNCTION("IMPORTRANGE(""https://docs.google.com/spreadsheets/d/1SX6NBoVAgQJ6U1MVXOaj8PK2l7WJ3RER9xtqwdhxkhw/edit?usp=sharing"",""เพชรบุรี!I515"")"),0)</f>
        <v>0</v>
      </c>
      <c r="J620" s="203">
        <f ca="1">IFERROR(__xludf.DUMMYFUNCTION("IMPORTRANGE(""https://docs.google.com/spreadsheets/d/1SX6NBoVAgQJ6U1MVXOaj8PK2l7WJ3RER9xtqwdhxkhw/edit?usp=sharing"",""เพชรบุรี!J515"")"),0)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IFERROR(__xludf.DUMMYFUNCTION("IMPORTRANGE(""https://docs.google.com/spreadsheets/d/1SX6NBoVAgQJ6U1MVXOaj8PK2l7WJ3RER9xtqwdhxkhw/edit?usp=sharing"",""เพชรบุรี!I516"")"),0)</f>
        <v>0</v>
      </c>
      <c r="J621" s="203">
        <f ca="1">IFERROR(__xludf.DUMMYFUNCTION("IMPORTRANGE(""https://docs.google.com/spreadsheets/d/1SX6NBoVAgQJ6U1MVXOaj8PK2l7WJ3RER9xtqwdhxkhw/edit?usp=sharing"",""เพชรบุรี!J516"")"),0)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IFERROR(__xludf.DUMMYFUNCTION("IMPORTRANGE(""https://docs.google.com/spreadsheets/d/1SX6NBoVAgQJ6U1MVXOaj8PK2l7WJ3RER9xtqwdhxkhw/edit?usp=sharing"",""เพชรบุรี!I517"")"),0)</f>
        <v>0</v>
      </c>
      <c r="J622" s="189">
        <f ca="1">IFERROR(__xludf.DUMMYFUNCTION("IMPORTRANGE(""https://docs.google.com/spreadsheets/d/1SX6NBoVAgQJ6U1MVXOaj8PK2l7WJ3RER9xtqwdhxkhw/edit?usp=sharing"",""เพชรบุรี!J517"")"),0)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IFERROR(__xludf.DUMMYFUNCTION("IMPORTRANGE(""https://docs.google.com/spreadsheets/d/1SX6NBoVAgQJ6U1MVXOaj8PK2l7WJ3RER9xtqwdhxkhw/edit?usp=sharing"",""เพชรบุรี!I518"")"),0)</f>
        <v>0</v>
      </c>
      <c r="J623" s="189">
        <f ca="1">IFERROR(__xludf.DUMMYFUNCTION("IMPORTRANGE(""https://docs.google.com/spreadsheets/d/1SX6NBoVAgQJ6U1MVXOaj8PK2l7WJ3RER9xtqwdhxkhw/edit?usp=sharing"",""เพชรบุรี!J518"")"),0)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IFERROR(__xludf.DUMMYFUNCTION("IMPORTRANGE(""https://docs.google.com/spreadsheets/d/1SX6NBoVAgQJ6U1MVXOaj8PK2l7WJ3RER9xtqwdhxkhw/edit?usp=sharing"",""เพชรบุรี!I519"")"),0)</f>
        <v>0</v>
      </c>
      <c r="J624" s="188">
        <f ca="1">IFERROR(__xludf.DUMMYFUNCTION("IMPORTRANGE(""https://docs.google.com/spreadsheets/d/1SX6NBoVAgQJ6U1MVXOaj8PK2l7WJ3RER9xtqwdhxkhw/edit?usp=sharing"",""เพชรบุรี!J519"")"),0)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IFERROR(__xludf.DUMMYFUNCTION("IMPORTRANGE(""https://docs.google.com/spreadsheets/d/1SX6NBoVAgQJ6U1MVXOaj8PK2l7WJ3RER9xtqwdhxkhw/edit?usp=sharing"",""เพชรบุรี!I520"")"),0)</f>
        <v>0</v>
      </c>
      <c r="J625" s="189">
        <f ca="1">IFERROR(__xludf.DUMMYFUNCTION("IMPORTRANGE(""https://docs.google.com/spreadsheets/d/1SX6NBoVAgQJ6U1MVXOaj8PK2l7WJ3RER9xtqwdhxkhw/edit?usp=sharing"",""เพชรบุรี!J520"")"),0)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IFERROR(__xludf.DUMMYFUNCTION("IMPORTRANGE(""https://docs.google.com/spreadsheets/d/1SX6NBoVAgQJ6U1MVXOaj8PK2l7WJ3RER9xtqwdhxkhw/edit?usp=sharing"",""เพชรบุรี!I521"")"),0)</f>
        <v>0</v>
      </c>
      <c r="J626" s="189">
        <f ca="1">IFERROR(__xludf.DUMMYFUNCTION("IMPORTRANGE(""https://docs.google.com/spreadsheets/d/1SX6NBoVAgQJ6U1MVXOaj8PK2l7WJ3RER9xtqwdhxkhw/edit?usp=sharing"",""เพชรบุรี!J521"")"),0)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2">
        <f ca="1">IFERROR(__xludf.DUMMYFUNCTION("IMPORTRANGE(""https://docs.google.com/spreadsheets/d/1SX6NBoVAgQJ6U1MVXOaj8PK2l7WJ3RER9xtqwdhxkhw/edit?usp=sharing"",""เพชรบุรี!J523"")"),893614.73)</f>
        <v>893614.73</v>
      </c>
      <c r="K628" s="343">
        <f t="shared" ref="K628:K635" ca="1" si="129">IF(I628&gt;0,J628*100/I628,0)</f>
        <v>77.788190375240276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IFERROR(__xludf.DUMMYFUNCTION("IMPORTRANGE(""https://docs.google.com/spreadsheets/d/1SX6NBoVAgQJ6U1MVXOaj8PK2l7WJ3RER9xtqwdhxkhw/edit?usp=sharing"",""เพชรบุรี!I524"")"),86)</f>
        <v>86</v>
      </c>
      <c r="J629" s="342">
        <f ca="1">IFERROR(__xludf.DUMMYFUNCTION("IMPORTRANGE(""https://docs.google.com/spreadsheets/d/1SX6NBoVAgQJ6U1MVXOaj8PK2l7WJ3RER9xtqwdhxkhw/edit?usp=sharing"",""เพชรบุรี!J524"")"),66)</f>
        <v>66</v>
      </c>
      <c r="K629" s="343">
        <f t="shared" ca="1" si="129"/>
        <v>76.744186046511629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2">
        <f ca="1">IFERROR(__xludf.DUMMYFUNCTION("IMPORTRANGE(""https://docs.google.com/spreadsheets/d/1SX6NBoVAgQJ6U1MVXOaj8PK2l7WJ3RER9xtqwdhxkhw/edit?usp=sharing"",""เพชรบุรี!J525"")"),274557.61)</f>
        <v>274557.61</v>
      </c>
      <c r="K630" s="343">
        <f t="shared" ca="1" si="129"/>
        <v>56.45279392153396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IFERROR(__xludf.DUMMYFUNCTION("IMPORTRANGE(""https://docs.google.com/spreadsheets/d/1SX6NBoVAgQJ6U1MVXOaj8PK2l7WJ3RER9xtqwdhxkhw/edit?usp=sharing"",""เพชรบุรี!I526"")"),21)</f>
        <v>21</v>
      </c>
      <c r="J631" s="342">
        <f ca="1">IFERROR(__xludf.DUMMYFUNCTION("IMPORTRANGE(""https://docs.google.com/spreadsheets/d/1SX6NBoVAgQJ6U1MVXOaj8PK2l7WJ3RER9xtqwdhxkhw/edit?usp=sharing"",""เพชรบุรี!J526"")"),18)</f>
        <v>18</v>
      </c>
      <c r="K631" s="343">
        <f t="shared" ca="1" si="129"/>
        <v>85.714285714285708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IFERROR(__xludf.DUMMYFUNCTION("IMPORTRANGE(""https://docs.google.com/spreadsheets/d/1SX6NBoVAgQJ6U1MVXOaj8PK2l7WJ3RER9xtqwdhxkhw/edit?usp=sharing"",""เพชรบุรี!I527"")"),1118.75)</f>
        <v>1118.75</v>
      </c>
      <c r="J632" s="342">
        <f ca="1">IFERROR(__xludf.DUMMYFUNCTION("IMPORTRANGE(""https://docs.google.com/spreadsheets/d/1SX6NBoVAgQJ6U1MVXOaj8PK2l7WJ3RER9xtqwdhxkhw/edit?usp=sharing"",""เพชรบุรี!J527"")"),262481.73)</f>
        <v>262481.73</v>
      </c>
      <c r="K632" s="343">
        <f t="shared" ca="1" si="129"/>
        <v>23462.054078212292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IFERROR(__xludf.DUMMYFUNCTION("IMPORTRANGE(""https://docs.google.com/spreadsheets/d/1SX6NBoVAgQJ6U1MVXOaj8PK2l7WJ3RER9xtqwdhxkhw/edit?usp=sharing"",""เพชรบุรี!I528"")"),1)</f>
        <v>1</v>
      </c>
      <c r="J633" s="342">
        <f ca="1">IFERROR(__xludf.DUMMYFUNCTION("IMPORTRANGE(""https://docs.google.com/spreadsheets/d/1SX6NBoVAgQJ6U1MVXOaj8PK2l7WJ3RER9xtqwdhxkhw/edit?usp=sharing"",""เพชรบุรี!J528"")"),21)</f>
        <v>21</v>
      </c>
      <c r="K633" s="343">
        <f t="shared" ca="1" si="129"/>
        <v>2100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IFERROR(__xludf.DUMMYFUNCTION("IMPORTRANGE(""https://docs.google.com/spreadsheets/d/1SX6NBoVAgQJ6U1MVXOaj8PK2l7WJ3RER9xtqwdhxkhw/edit?usp=sharing"",""เพชรบุรี!I529"")"),1200000)</f>
        <v>1200000</v>
      </c>
      <c r="J634" s="342">
        <f ca="1">IFERROR(__xludf.DUMMYFUNCTION("IMPORTRANGE(""https://docs.google.com/spreadsheets/d/1SX6NBoVAgQJ6U1MVXOaj8PK2l7WJ3RER9xtqwdhxkhw/edit?usp=sharing"",""เพชรบุรี!J529"")"),980000)</f>
        <v>980000</v>
      </c>
      <c r="K634" s="343">
        <f t="shared" ca="1" si="129"/>
        <v>81.666666666666671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IFERROR(__xludf.DUMMYFUNCTION("IMPORTRANGE(""https://docs.google.com/spreadsheets/d/1SX6NBoVAgQJ6U1MVXOaj8PK2l7WJ3RER9xtqwdhxkhw/edit?usp=sharing"",""เพชรบุรี!I530"")"),27)</f>
        <v>27</v>
      </c>
      <c r="J635" s="504">
        <f ca="1">IFERROR(__xludf.DUMMYFUNCTION("IMPORTRANGE(""https://docs.google.com/spreadsheets/d/1SX6NBoVAgQJ6U1MVXOaj8PK2l7WJ3RER9xtqwdhxkhw/edit?usp=sharing"",""เพชรบุรี!J530"")"),24)</f>
        <v>24</v>
      </c>
      <c r="K635" s="486">
        <f t="shared" ca="1" si="129"/>
        <v>88.888888888888886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34390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34390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34390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IFERROR(__xludf.DUMMYFUNCTION("IMPORTRANGE(""https://docs.google.com/spreadsheets/d/1SX6NBoVAgQJ6U1MVXOaj8PK2l7WJ3RER9xtqwdhxkhw/edit#gid=346597447"",""เพชรบุรี!J541"")"),0)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IFERROR(__xludf.DUMMYFUNCTION("IMPORTRANGE(""https://docs.google.com/spreadsheets/d/1SX6NBoVAgQJ6U1MVXOaj8PK2l7WJ3RER9xtqwdhxkhw/edit#gid=346597447"",""เพชรบุรี!J542"")"),0)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IFERROR(__xludf.DUMMYFUNCTION("IMPORTRANGE(""https://docs.google.com/spreadsheets/d/1SX6NBoVAgQJ6U1MVXOaj8PK2l7WJ3RER9xtqwdhxkhw/edit#gid=346597447"",""เพชรบุรี!I543"")"),0)</f>
        <v>0</v>
      </c>
      <c r="J648" s="536">
        <f ca="1">IFERROR(__xludf.DUMMYFUNCTION("IMPORTRANGE(""https://docs.google.com/spreadsheets/d/1SX6NBoVAgQJ6U1MVXOaj8PK2l7WJ3RER9xtqwdhxkhw/edit#gid=346597447"",""เพชรบุรี!J543"")"),0)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IFERROR(__xludf.DUMMYFUNCTION("IMPORTRANGE(""https://docs.google.com/spreadsheets/d/1SX6NBoVAgQJ6U1MVXOaj8PK2l7WJ3RER9xtqwdhxkhw/edit#gid=346597447"",""เพชรบุรี!L543"")"),0)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IFERROR(__xludf.DUMMYFUNCTION("IMPORTRANGE(""https://docs.google.com/spreadsheets/d/1SX6NBoVAgQJ6U1MVXOaj8PK2l7WJ3RER9xtqwdhxkhw/edit#gid=346597447"",""เพชรบุรี!M543"")"),0)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IFERROR(__xludf.DUMMYFUNCTION("IMPORTRANGE(""https://docs.google.com/spreadsheets/d/1SX6NBoVAgQJ6U1MVXOaj8PK2l7WJ3RER9xtqwdhxkhw/edit#gid=346597447"",""เพชรบุรี!I544"")"),41)</f>
        <v>41</v>
      </c>
      <c r="J649" s="536">
        <f ca="1">IFERROR(__xludf.DUMMYFUNCTION("IMPORTRANGE(""https://docs.google.com/spreadsheets/d/1SX6NBoVAgQJ6U1MVXOaj8PK2l7WJ3RER9xtqwdhxkhw/edit#gid=346597447"",""เพชรบุรี!J544"")"),6)</f>
        <v>6</v>
      </c>
      <c r="K649" s="537">
        <f t="shared" ca="1" si="131"/>
        <v>14.634146341463415</v>
      </c>
      <c r="L649" s="522">
        <f ca="1">IFERROR(__xludf.DUMMYFUNCTION("IMPORTRANGE(""https://docs.google.com/spreadsheets/d/1SX6NBoVAgQJ6U1MVXOaj8PK2l7WJ3RER9xtqwdhxkhw/edit#gid=346597447"",""เพชรบุรี!L544"")"),4920)</f>
        <v>4920</v>
      </c>
      <c r="M649" s="521"/>
      <c r="N649" s="538">
        <f ca="1">IFERROR(__xludf.DUMMYFUNCTION("IMPORTRANGE(""https://docs.google.com/spreadsheets/d/1SX6NBoVAgQJ6U1MVXOaj8PK2l7WJ3RER9xtqwdhxkhw/edit#gid=346597447"",""เพชรบุรี!M544"")"),0)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IFERROR(__xludf.DUMMYFUNCTION("IMPORTRANGE(""https://docs.google.com/spreadsheets/d/1SX6NBoVAgQJ6U1MVXOaj8PK2l7WJ3RER9xtqwdhxkhw/edit#gid=346597447"",""เพชรบุรี!I545"")"),0)</f>
        <v>0</v>
      </c>
      <c r="J650" s="536">
        <f ca="1">IFERROR(__xludf.DUMMYFUNCTION("IMPORTRANGE(""https://docs.google.com/spreadsheets/d/1SX6NBoVAgQJ6U1MVXOaj8PK2l7WJ3RER9xtqwdhxkhw/edit#gid=346597447"",""เพชรบุรี!J545"")"),0)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IFERROR(__xludf.DUMMYFUNCTION("IMPORTRANGE(""https://docs.google.com/spreadsheets/d/1SX6NBoVAgQJ6U1MVXOaj8PK2l7WJ3RER9xtqwdhxkhw/edit#gid=346597447"",""เพชรบุรี!L545"")"),0)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IFERROR(__xludf.DUMMYFUNCTION("IMPORTRANGE(""https://docs.google.com/spreadsheets/d/1SX6NBoVAgQJ6U1MVXOaj8PK2l7WJ3RER9xtqwdhxkhw/edit#gid=346597447"",""เพชรบุรี!M545"")"),0)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IFERROR(__xludf.DUMMYFUNCTION("IMPORTRANGE(""https://docs.google.com/spreadsheets/d/1SX6NBoVAgQJ6U1MVXOaj8PK2l7WJ3RER9xtqwdhxkhw/edit#gid=346597447"",""เพชรบุรี!I546"")"),270)</f>
        <v>270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IFERROR(__xludf.DUMMYFUNCTION("IMPORTRANGE(""https://docs.google.com/spreadsheets/d/1SX6NBoVAgQJ6U1MVXOaj8PK2l7WJ3RER9xtqwdhxkhw/edit#gid=346597447"",""เพชรบุรี!L546"")"),6750)</f>
        <v>6750</v>
      </c>
      <c r="M651" s="521"/>
      <c r="N651" s="538">
        <f ca="1">IFERROR(__xludf.DUMMYFUNCTION("IMPORTRANGE(""https://docs.google.com/spreadsheets/d/1SX6NBoVAgQJ6U1MVXOaj8PK2l7WJ3RER9xtqwdhxkhw/edit#gid=346597447"",""เพชรบุรี!M546"")"),0)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IFERROR(__xludf.DUMMYFUNCTION("IMPORTRANGE(""https://docs.google.com/spreadsheets/d/1SX6NBoVAgQJ6U1MVXOaj8PK2l7WJ3RER9xtqwdhxkhw/edit#gid=346597447"",""เพชรบุรี!J547"")"),0)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IFERROR(__xludf.DUMMYFUNCTION("IMPORTRANGE(""https://docs.google.com/spreadsheets/d/1SX6NBoVAgQJ6U1MVXOaj8PK2l7WJ3RER9xtqwdhxkhw/edit#gid=346597447"",""เพชรบุรี!J548"")"),0)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IFERROR(__xludf.DUMMYFUNCTION("IMPORTRANGE(""https://docs.google.com/spreadsheets/d/1SX6NBoVAgQJ6U1MVXOaj8PK2l7WJ3RER9xtqwdhxkhw/edit#gid=346597447"",""เพชรบุรี!J550"")"),0)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IFERROR(__xludf.DUMMYFUNCTION("IMPORTRANGE(""https://docs.google.com/spreadsheets/d/1SX6NBoVAgQJ6U1MVXOaj8PK2l7WJ3RER9xtqwdhxkhw/edit#gid=346597447"",""เพชรบุรี!J551"")"),0)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IFERROR(__xludf.DUMMYFUNCTION("IMPORTRANGE(""https://docs.google.com/spreadsheets/d/1SX6NBoVAgQJ6U1MVXOaj8PK2l7WJ3RER9xtqwdhxkhw/edit#gid=346597447"",""เพชรบุรี!J552"")"),0)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IFERROR(__xludf.DUMMYFUNCTION("IMPORTRANGE(""https://docs.google.com/spreadsheets/d/1SX6NBoVAgQJ6U1MVXOaj8PK2l7WJ3RER9xtqwdhxkhw/edit#gid=346597447"",""เพชรบุรี!J553"")"),0)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IFERROR(__xludf.DUMMYFUNCTION("IMPORTRANGE(""https://docs.google.com/spreadsheets/d/1SX6NBoVAgQJ6U1MVXOaj8PK2l7WJ3RER9xtqwdhxkhw/edit#gid=346597447"",""เพชรบุรี!J554"")"),0)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IFERROR(__xludf.DUMMYFUNCTION("IMPORTRANGE(""https://docs.google.com/spreadsheets/d/1SX6NBoVAgQJ6U1MVXOaj8PK2l7WJ3RER9xtqwdhxkhw/edit#gid=346597447"",""เพชรบุรี!J555"")"),0)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IFERROR(__xludf.DUMMYFUNCTION("IMPORTRANGE(""https://docs.google.com/spreadsheets/d/1SX6NBoVAgQJ6U1MVXOaj8PK2l7WJ3RER9xtqwdhxkhw/edit#gid=346597447"",""เพชรบุรี!J556"")"),0)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IFERROR(__xludf.DUMMYFUNCTION("IMPORTRANGE(""https://docs.google.com/spreadsheets/d/1SX6NBoVAgQJ6U1MVXOaj8PK2l7WJ3RER9xtqwdhxkhw/edit#gid=346597447"",""เพชรบุรี!L556"")"),0)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IFERROR(__xludf.DUMMYFUNCTION("IMPORTRANGE(""https://docs.google.com/spreadsheets/d/1SX6NBoVAgQJ6U1MVXOaj8PK2l7WJ3RER9xtqwdhxkhw/edit#gid=346597447"",""เพชรบุรี!M556"")"),0)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IFERROR(__xludf.DUMMYFUNCTION("IMPORTRANGE(""https://docs.google.com/spreadsheets/d/1SX6NBoVAgQJ6U1MVXOaj8PK2l7WJ3RER9xtqwdhxkhw/edit#gid=346597447"",""เพชรบุรี!J557"")"),0)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IFERROR(__xludf.DUMMYFUNCTION("IMPORTRANGE(""https://docs.google.com/spreadsheets/d/1SX6NBoVAgQJ6U1MVXOaj8PK2l7WJ3RER9xtqwdhxkhw/edit#gid=346597447"",""เพชรบุรี!I558"")"),0)</f>
        <v>0</v>
      </c>
      <c r="J663" s="536">
        <f ca="1">IFERROR(__xludf.DUMMYFUNCTION("IMPORTRANGE(""https://docs.google.com/spreadsheets/d/1SX6NBoVAgQJ6U1MVXOaj8PK2l7WJ3RER9xtqwdhxkhw/edit#gid=346597447"",""เพชรบุรี!J558"")"),0)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IFERROR(__xludf.DUMMYFUNCTION("IMPORTRANGE(""https://docs.google.com/spreadsheets/d/1SX6NBoVAgQJ6U1MVXOaj8PK2l7WJ3RER9xtqwdhxkhw/edit#gid=346597447"",""เพชรบุรี!I560"")"),8)</f>
        <v>8</v>
      </c>
      <c r="J665" s="536">
        <f ca="1">IFERROR(__xludf.DUMMYFUNCTION("IMPORTRANGE(""https://docs.google.com/spreadsheets/d/1SX6NBoVAgQJ6U1MVXOaj8PK2l7WJ3RER9xtqwdhxkhw/edit#gid=346597447"",""เพชรบุรี!J560"")"),0)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IFERROR(__xludf.DUMMYFUNCTION("IMPORTRANGE(""https://docs.google.com/spreadsheets/d/1SX6NBoVAgQJ6U1MVXOaj8PK2l7WJ3RER9xtqwdhxkhw/edit#gid=346597447"",""เพชรบุรี!L560"")"),960)</f>
        <v>960</v>
      </c>
      <c r="M665" s="521"/>
      <c r="N665" s="538">
        <f ca="1">IFERROR(__xludf.DUMMYFUNCTION("IMPORTRANGE(""https://docs.google.com/spreadsheets/d/1SX6NBoVAgQJ6U1MVXOaj8PK2l7WJ3RER9xtqwdhxkhw/edit#gid=346597447"",""เพชรบุรี!M560"")"),0)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IFERROR(__xludf.DUMMYFUNCTION("IMPORTRANGE(""https://docs.google.com/spreadsheets/d/1SX6NBoVAgQJ6U1MVXOaj8PK2l7WJ3RER9xtqwdhxkhw/edit#gid=346597447"",""เพชรบุรี!J561"")"),0)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IFERROR(__xludf.DUMMYFUNCTION("IMPORTRANGE(""https://docs.google.com/spreadsheets/d/1SX6NBoVAgQJ6U1MVXOaj8PK2l7WJ3RER9xtqwdhxkhw/edit#gid=346597447"",""เพชรบุรี!J562"")"),0)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IFERROR(__xludf.DUMMYFUNCTION("IMPORTRANGE(""https://docs.google.com/spreadsheets/d/1SX6NBoVAgQJ6U1MVXOaj8PK2l7WJ3RER9xtqwdhxkhw/edit#gid=346597447"",""เพชรบุรี!I563"")"),4)</f>
        <v>4</v>
      </c>
      <c r="J668" s="536">
        <f ca="1">IFERROR(__xludf.DUMMYFUNCTION("IMPORTRANGE(""https://docs.google.com/spreadsheets/d/1SX6NBoVAgQJ6U1MVXOaj8PK2l7WJ3RER9xtqwdhxkhw/edit#gid=346597447"",""เพชรบุรี!J563"")"),0)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IFERROR(__xludf.DUMMYFUNCTION("IMPORTRANGE(""https://docs.google.com/spreadsheets/d/1SX6NBoVAgQJ6U1MVXOaj8PK2l7WJ3RER9xtqwdhxkhw/edit#gid=346597447"",""เพชรบุรี!L563"")"),4960)</f>
        <v>4960</v>
      </c>
      <c r="M668" s="521"/>
      <c r="N668" s="538">
        <f ca="1">IFERROR(__xludf.DUMMYFUNCTION("IMPORTRANGE(""https://docs.google.com/spreadsheets/d/1SX6NBoVAgQJ6U1MVXOaj8PK2l7WJ3RER9xtqwdhxkhw/edit#gid=346597447"",""เพชรบุรี!M563"")"),0)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IFERROR(__xludf.DUMMYFUNCTION("IMPORTRANGE(""https://docs.google.com/spreadsheets/d/1SX6NBoVAgQJ6U1MVXOaj8PK2l7WJ3RER9xtqwdhxkhw/edit#gid=346597447"",""เพชรบุรี!J564"")"),0)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IFERROR(__xludf.DUMMYFUNCTION("IMPORTRANGE(""https://docs.google.com/spreadsheets/d/1SX6NBoVAgQJ6U1MVXOaj8PK2l7WJ3RER9xtqwdhxkhw/edit#gid=346597447"",""เพชรบุรี!J565"")"),0)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IFERROR(__xludf.DUMMYFUNCTION("IMPORTRANGE(""https://docs.google.com/spreadsheets/d/1SX6NBoVAgQJ6U1MVXOaj8PK2l7WJ3RER9xtqwdhxkhw/edit#gid=346597447"",""เพชรบุรี!I566"")"),210)</f>
        <v>210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IFERROR(__xludf.DUMMYFUNCTION("IMPORTRANGE(""https://docs.google.com/spreadsheets/d/1SX6NBoVAgQJ6U1MVXOaj8PK2l7WJ3RER9xtqwdhxkhw/edit#gid=346597447"",""เพชรบุรี!L566"")"),16800)</f>
        <v>16800</v>
      </c>
      <c r="M671" s="521"/>
      <c r="N671" s="538">
        <f ca="1">IFERROR(__xludf.DUMMYFUNCTION("IMPORTRANGE(""https://docs.google.com/spreadsheets/d/1SX6NBoVAgQJ6U1MVXOaj8PK2l7WJ3RER9xtqwdhxkhw/edit#gid=346597447"",""เพชรบุรี!M566"")"),0)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IFERROR(__xludf.DUMMYFUNCTION("IMPORTRANGE(""https://docs.google.com/spreadsheets/d/1SX6NBoVAgQJ6U1MVXOaj8PK2l7WJ3RER9xtqwdhxkhw/edit#gid=346597447"",""เพชรบุรี!J567"")"),0)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IFERROR(__xludf.DUMMYFUNCTION("IMPORTRANGE(""https://docs.google.com/spreadsheets/d/1SX6NBoVAgQJ6U1MVXOaj8PK2l7WJ3RER9xtqwdhxkhw/edit#gid=346597447"",""เพชรบุรี!J568"")"),0)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IFERROR(__xludf.DUMMYFUNCTION("IMPORTRANGE(""https://docs.google.com/spreadsheets/d/1SX6NBoVAgQJ6U1MVXOaj8PK2l7WJ3RER9xtqwdhxkhw/edit#gid=346597447"",""เพชรบุรี!J569"")"),0)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IFERROR(__xludf.DUMMYFUNCTION("IMPORTRANGE(""https://docs.google.com/spreadsheets/d/1SX6NBoVAgQJ6U1MVXOaj8PK2l7WJ3RER9xtqwdhxkhw/edit#gid=346597447"",""เพชรบุรี!J570"")"),0)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IFERROR(__xludf.DUMMYFUNCTION("IMPORTRANGE(""https://docs.google.com/spreadsheets/d/1SX6NBoVAgQJ6U1MVXOaj8PK2l7WJ3RER9xtqwdhxkhw/edit#gid=346597447"",""เพชรบุรี!J571"")"),0)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IFERROR(__xludf.DUMMYFUNCTION("IMPORTRANGE(""https://docs.google.com/spreadsheets/d/1SX6NBoVAgQJ6U1MVXOaj8PK2l7WJ3RER9xtqwdhxkhw/edit#gid=346597447"",""เพชรบุรี!J572"")"),0)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286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3084494</v>
      </c>
      <c r="M8" s="23">
        <f t="shared" ca="1" si="0"/>
        <v>1581571</v>
      </c>
      <c r="N8" s="23">
        <f t="shared" ca="1" si="0"/>
        <v>1836436.07</v>
      </c>
      <c r="O8" s="22">
        <f t="shared" ref="O8:O16" ca="1" si="1">IF(L8&gt;0,N8*100/L8,0)</f>
        <v>59.537676844240906</v>
      </c>
      <c r="P8" s="22">
        <f t="shared" ref="P8:P16" ca="1" si="2">IF(M8&gt;0,N8*100/M8,0)</f>
        <v>116.11467774763194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3084494</v>
      </c>
      <c r="M10" s="30">
        <f t="shared" ca="1" si="4"/>
        <v>1581571</v>
      </c>
      <c r="N10" s="30">
        <f t="shared" ca="1" si="4"/>
        <v>1836436.07</v>
      </c>
      <c r="O10" s="29">
        <f t="shared" ca="1" si="1"/>
        <v>59.537676844240906</v>
      </c>
      <c r="P10" s="29">
        <f t="shared" ca="1" si="2"/>
        <v>116.11467774763194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2937494</v>
      </c>
      <c r="M12" s="38">
        <f t="shared" ca="1" si="6"/>
        <v>1434571</v>
      </c>
      <c r="N12" s="38">
        <f t="shared" ca="1" si="6"/>
        <v>1689436.07</v>
      </c>
      <c r="O12" s="38">
        <f t="shared" ca="1" si="1"/>
        <v>57.512834749619913</v>
      </c>
      <c r="P12" s="38">
        <f t="shared" ca="1" si="2"/>
        <v>117.76594326805714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1207000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1730494</v>
      </c>
      <c r="M14" s="38">
        <f t="shared" si="8"/>
        <v>0</v>
      </c>
      <c r="N14" s="38">
        <f t="shared" ca="1" si="8"/>
        <v>514707</v>
      </c>
      <c r="O14" s="38">
        <f t="shared" ca="1" si="1"/>
        <v>29.743356521317033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1996045</v>
      </c>
      <c r="M18" s="23">
        <f t="shared" ca="1" si="11"/>
        <v>1581571</v>
      </c>
      <c r="N18" s="23">
        <f t="shared" ca="1" si="11"/>
        <v>1321729.07</v>
      </c>
      <c r="O18" s="22">
        <f t="shared" ref="O18:O20" ca="1" si="12">IF(L18&gt;0,N18*100/L18,0)</f>
        <v>66.217398405346572</v>
      </c>
      <c r="P18" s="22">
        <f t="shared" ref="P18:P26" ca="1" si="13">IF(M18&gt;0,N18*100/M18,0)</f>
        <v>83.570643998909944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1996045</v>
      </c>
      <c r="M20" s="30">
        <f t="shared" ca="1" si="15"/>
        <v>1581571</v>
      </c>
      <c r="N20" s="30">
        <f t="shared" ca="1" si="15"/>
        <v>1321729.07</v>
      </c>
      <c r="O20" s="29">
        <f t="shared" ca="1" si="12"/>
        <v>66.217398405346572</v>
      </c>
      <c r="P20" s="29">
        <f t="shared" ca="1" si="13"/>
        <v>83.570643998909944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1849045</v>
      </c>
      <c r="M22" s="41">
        <f t="shared" ca="1" si="18"/>
        <v>1434571</v>
      </c>
      <c r="N22" s="38">
        <f t="shared" ca="1" si="18"/>
        <v>1174729.07</v>
      </c>
      <c r="O22" s="38">
        <f t="shared" ca="1" si="17"/>
        <v>63.531664724222502</v>
      </c>
      <c r="P22" s="38">
        <f t="shared" ca="1" si="13"/>
        <v>81.887133505417296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1207000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642045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1088449</v>
      </c>
      <c r="M28" s="23">
        <f t="shared" si="23"/>
        <v>0</v>
      </c>
      <c r="N28" s="23">
        <f t="shared" ca="1" si="23"/>
        <v>514707</v>
      </c>
      <c r="O28" s="22">
        <f t="shared" ref="O28:O30" ca="1" si="24">IF(L28&gt;0,N28*100/L28,0)</f>
        <v>47.288113636927406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1088449</v>
      </c>
      <c r="M30" s="30">
        <f t="shared" si="27"/>
        <v>0</v>
      </c>
      <c r="N30" s="30">
        <f t="shared" ca="1" si="27"/>
        <v>514707</v>
      </c>
      <c r="O30" s="29">
        <f t="shared" ca="1" si="24"/>
        <v>47.288113636927406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1088449</v>
      </c>
      <c r="M32" s="38">
        <f t="shared" si="30"/>
        <v>0</v>
      </c>
      <c r="N32" s="38">
        <f t="shared" ca="1" si="30"/>
        <v>514707</v>
      </c>
      <c r="O32" s="38">
        <f t="shared" ca="1" si="29"/>
        <v>47.288113636927406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1088449</v>
      </c>
      <c r="M34" s="38">
        <f t="shared" si="32"/>
        <v>0</v>
      </c>
      <c r="N34" s="38">
        <f t="shared" ca="1" si="32"/>
        <v>514707</v>
      </c>
      <c r="O34" s="38">
        <f t="shared" ca="1" si="29"/>
        <v>47.288113636927406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1996045</v>
      </c>
      <c r="M37" s="54">
        <f t="shared" ca="1" si="33"/>
        <v>1581571</v>
      </c>
      <c r="N37" s="54">
        <f t="shared" ca="1" si="33"/>
        <v>1321729.07</v>
      </c>
      <c r="O37" s="55">
        <f t="shared" ca="1" si="29"/>
        <v>66.217398405346572</v>
      </c>
      <c r="P37" s="55">
        <f t="shared" ca="1" si="25"/>
        <v>83.570643998909944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313800</v>
      </c>
      <c r="M41" s="78">
        <f t="shared" ca="1" si="34"/>
        <v>248900</v>
      </c>
      <c r="N41" s="78">
        <f t="shared" ca="1" si="34"/>
        <v>205844.61</v>
      </c>
      <c r="O41" s="77">
        <f t="shared" ref="O41:O43" ca="1" si="35">IF(L41&gt;0,N41*100/L41,0)</f>
        <v>65.59739005736138</v>
      </c>
      <c r="P41" s="77">
        <f t="shared" ref="P41:P43" ca="1" si="36">IF(M41&gt;0,N41*100/M41,0)</f>
        <v>82.701731619124146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313800</v>
      </c>
      <c r="M43" s="78">
        <f t="shared" ca="1" si="38"/>
        <v>248900</v>
      </c>
      <c r="N43" s="78">
        <f t="shared" ca="1" si="38"/>
        <v>205844.61</v>
      </c>
      <c r="O43" s="77">
        <f t="shared" ca="1" si="35"/>
        <v>65.59739005736138</v>
      </c>
      <c r="P43" s="77">
        <f t="shared" ca="1" si="36"/>
        <v>82.701731619124146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313800</v>
      </c>
      <c r="M45" s="49">
        <f ca="1">IFERROR(__xludf.DUMMYFUNCTION("IMPORTRANGE(""https://docs.google.com/spreadsheets/d/1Yj_ptqi66GCucihVvJfMjLAmec39IyEx_6qawtMGysU/edit?usp=sharing"",""สบก!Q72"")"),248900)</f>
        <v>248900</v>
      </c>
      <c r="N45" s="49">
        <f ca="1">IFERROR(__xludf.DUMMYFUNCTION("IMPORTRANGE(""https://docs.google.com/spreadsheets/d/1Yj_ptqi66GCucihVvJfMjLAmec39IyEx_6qawtMGysU/edit?usp=sharing"",""สบก!R72"")"),205844.61)</f>
        <v>205844.61</v>
      </c>
      <c r="O45" s="38">
        <f ca="1">IF(L45&gt;0,N45*100/L45,0)</f>
        <v>65.59739005736138</v>
      </c>
      <c r="P45" s="38">
        <f ca="1">IF(M45&gt;0,N45*100/M45,0)</f>
        <v>82.701731619124146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IFERROR(__xludf.DUMMYFUNCTION("IMPORTRANGE(""https://docs.google.com/spreadsheets/d/1Yj_ptqi66GCucihVvJfMjLAmec39IyEx_6qawtMGysU/edit?usp=sharing"",""สบก!M72"")"),313800)</f>
        <v>313800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280000</v>
      </c>
      <c r="M53" s="121">
        <f t="shared" ca="1" si="39"/>
        <v>216541</v>
      </c>
      <c r="N53" s="121">
        <f t="shared" ca="1" si="39"/>
        <v>214679</v>
      </c>
      <c r="O53" s="120">
        <f t="shared" ref="O53:O55" ca="1" si="40">IF(L53&gt;0,N53*100/L53,0)</f>
        <v>76.671071428571423</v>
      </c>
      <c r="P53" s="120">
        <f t="shared" ref="P53:P55" ca="1" si="41">IF(M53&gt;0,N53*100/M53,0)</f>
        <v>99.140116652273704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280000</v>
      </c>
      <c r="M55" s="121">
        <f t="shared" ca="1" si="43"/>
        <v>216541</v>
      </c>
      <c r="N55" s="121">
        <f t="shared" ca="1" si="43"/>
        <v>214679</v>
      </c>
      <c r="O55" s="120">
        <f t="shared" ca="1" si="40"/>
        <v>76.671071428571423</v>
      </c>
      <c r="P55" s="120">
        <f t="shared" ca="1" si="41"/>
        <v>99.140116652273704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280000</v>
      </c>
      <c r="M57" s="49">
        <f ca="1">IFERROR(__xludf.DUMMYFUNCTION("IMPORTRANGE(""https://docs.google.com/spreadsheets/d/1Yj_ptqi66GCucihVvJfMjLAmec39IyEx_6qawtMGysU/edit?usp=sharing"",""สบก!Z72"")"),216541)</f>
        <v>216541</v>
      </c>
      <c r="N57" s="49">
        <f ca="1">IFERROR(__xludf.DUMMYFUNCTION("IMPORTRANGE(""https://docs.google.com/spreadsheets/d/1Yj_ptqi66GCucihVvJfMjLAmec39IyEx_6qawtMGysU/edit?usp=sharing"",""สบก!AA72"")"),214679)</f>
        <v>214679</v>
      </c>
      <c r="O57" s="38">
        <f ca="1">IF(L57&gt;0,N57*100/L57,0)</f>
        <v>76.671071428571423</v>
      </c>
      <c r="P57" s="38">
        <f ca="1">IF(M57&gt;0,N57*100/M57,0)</f>
        <v>99.140116652273704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IFERROR(__xludf.DUMMYFUNCTION("IMPORTRANGE(""https://docs.google.com/spreadsheets/d/1Yj_ptqi66GCucihVvJfMjLAmec39IyEx_6qawtMGysU/edit?usp=sharing"",""สบก!V72"")"),280000)</f>
        <v>280000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IFERROR(__xludf.DUMMYFUNCTION("IMPORTRANGE(""https://docs.google.com/spreadsheets/d/1Yj_ptqi66GCucihVvJfMjLAmec39IyEx_6qawtMGysU/edit?usp=sharing"",""สบก!AI72"")"),0)</f>
        <v>0</v>
      </c>
      <c r="N70" s="169">
        <f ca="1">IFERROR(__xludf.DUMMYFUNCTION("IMPORTRANGE(""https://docs.google.com/spreadsheets/d/1Yj_ptqi66GCucihVvJfMjLAmec39IyEx_6qawtMGysU/edit?usp=sharing"",""สบก!AJ72"")"),0)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IFERROR(__xludf.DUMMYFUNCTION("IMPORTRANGE(""https://docs.google.com/spreadsheets/d/1SX6NBoVAgQJ6U1MVXOaj8PK2l7WJ3RER9xtqwdhxkhw/edit?usp=sharing"",""ระยอง!J16"")"),0)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IFERROR(__xludf.DUMMYFUNCTION("IMPORTRANGE(""https://docs.google.com/spreadsheets/d/1SX6NBoVAgQJ6U1MVXOaj8PK2l7WJ3RER9xtqwdhxkhw/edit?usp=sharing"",""ระยอง!J17"")"),0)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IFERROR(__xludf.DUMMYFUNCTION("IMPORTRANGE(""https://docs.google.com/spreadsheets/d/1SX6NBoVAgQJ6U1MVXOaj8PK2l7WJ3RER9xtqwdhxkhw/edit?usp=sharing"",""ระยอง!J18"")"),0)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IFERROR(__xludf.DUMMYFUNCTION("IMPORTRANGE(""https://docs.google.com/spreadsheets/d/1SX6NBoVAgQJ6U1MVXOaj8PK2l7WJ3RER9xtqwdhxkhw/edit?usp=sharing"",""ระยอง!J19"")"),0)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IFERROR(__xludf.DUMMYFUNCTION("IMPORTRANGE(""https://docs.google.com/spreadsheets/d/1SX6NBoVAgQJ6U1MVXOaj8PK2l7WJ3RER9xtqwdhxkhw/edit?usp=sharing"",""ระยอง!I20"")"),0)</f>
        <v>0</v>
      </c>
      <c r="J80" s="201">
        <f ca="1">IFERROR(__xludf.DUMMYFUNCTION("IMPORTRANGE(""https://docs.google.com/spreadsheets/d/1SX6NBoVAgQJ6U1MVXOaj8PK2l7WJ3RER9xtqwdhxkhw/edit?usp=sharing"",""ระยอง!J20"")"),0)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IFERROR(__xludf.DUMMYFUNCTION("IMPORTRANGE(""https://docs.google.com/spreadsheets/d/1SX6NBoVAgQJ6U1MVXOaj8PK2l7WJ3RER9xtqwdhxkhw/edit?usp=sharing"",""ระยอง!I21"")"),0)</f>
        <v>0</v>
      </c>
      <c r="J81" s="201">
        <f ca="1">IFERROR(__xludf.DUMMYFUNCTION("IMPORTRANGE(""https://docs.google.com/spreadsheets/d/1SX6NBoVAgQJ6U1MVXOaj8PK2l7WJ3RER9xtqwdhxkhw/edit?usp=sharing"",""ระยอง!J21"")"),0)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IFERROR(__xludf.DUMMYFUNCTION("IMPORTRANGE(""https://docs.google.com/spreadsheets/d/1SX6NBoVAgQJ6U1MVXOaj8PK2l7WJ3RER9xtqwdhxkhw/edit?usp=sharing"",""ระยอง!I22"")"),0)</f>
        <v>0</v>
      </c>
      <c r="J82" s="204">
        <f ca="1">IFERROR(__xludf.DUMMYFUNCTION("IMPORTRANGE(""https://docs.google.com/spreadsheets/d/1SX6NBoVAgQJ6U1MVXOaj8PK2l7WJ3RER9xtqwdhxkhw/edit?usp=sharing"",""ระยอง!J22"")"),0)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IFERROR(__xludf.DUMMYFUNCTION("IMPORTRANGE(""https://docs.google.com/spreadsheets/d/1SX6NBoVAgQJ6U1MVXOaj8PK2l7WJ3RER9xtqwdhxkhw/edit?usp=sharing"",""ระยอง!I23"")"),0)</f>
        <v>0</v>
      </c>
      <c r="J83" s="204">
        <f ca="1">IFERROR(__xludf.DUMMYFUNCTION("IMPORTRANGE(""https://docs.google.com/spreadsheets/d/1SX6NBoVAgQJ6U1MVXOaj8PK2l7WJ3RER9xtqwdhxkhw/edit?usp=sharing"",""ระยอง!J23"")"),0)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IFERROR(__xludf.DUMMYFUNCTION("IMPORTRANGE(""https://docs.google.com/spreadsheets/d/1SX6NBoVAgQJ6U1MVXOaj8PK2l7WJ3RER9xtqwdhxkhw/edit?usp=sharing"",""ระยอง!I24"")"),0)</f>
        <v>0</v>
      </c>
      <c r="J84" s="189">
        <f ca="1">IFERROR(__xludf.DUMMYFUNCTION("IMPORTRANGE(""https://docs.google.com/spreadsheets/d/1SX6NBoVAgQJ6U1MVXOaj8PK2l7WJ3RER9xtqwdhxkhw/edit?usp=sharing"",""ระยอง!J24"")"),0)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IFERROR(__xludf.DUMMYFUNCTION("IMPORTRANGE(""https://docs.google.com/spreadsheets/d/1SX6NBoVAgQJ6U1MVXOaj8PK2l7WJ3RER9xtqwdhxkhw/edit?usp=sharing"",""ระยอง!I25"")"),0)</f>
        <v>0</v>
      </c>
      <c r="J85" s="189">
        <f ca="1">IFERROR(__xludf.DUMMYFUNCTION("IMPORTRANGE(""https://docs.google.com/spreadsheets/d/1SX6NBoVAgQJ6U1MVXOaj8PK2l7WJ3RER9xtqwdhxkhw/edit?usp=sharing"",""ระยอง!J25"")"),0)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IFERROR(__xludf.DUMMYFUNCTION("IMPORTRANGE(""https://docs.google.com/spreadsheets/d/1SX6NBoVAgQJ6U1MVXOaj8PK2l7WJ3RER9xtqwdhxkhw/edit?usp=sharing"",""ระยอง!I26"")"),0)</f>
        <v>0</v>
      </c>
      <c r="J86" s="204">
        <f ca="1">IFERROR(__xludf.DUMMYFUNCTION("IMPORTRANGE(""https://docs.google.com/spreadsheets/d/1SX6NBoVAgQJ6U1MVXOaj8PK2l7WJ3RER9xtqwdhxkhw/edit?usp=sharing"",""ระยอง!J26"")"),0)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IFERROR(__xludf.DUMMYFUNCTION("IMPORTRANGE(""https://docs.google.com/spreadsheets/d/1SX6NBoVAgQJ6U1MVXOaj8PK2l7WJ3RER9xtqwdhxkhw/edit?usp=sharing"",""ระยอง!I27"")"),0)</f>
        <v>0</v>
      </c>
      <c r="J87" s="204">
        <f ca="1">IFERROR(__xludf.DUMMYFUNCTION("IMPORTRANGE(""https://docs.google.com/spreadsheets/d/1SX6NBoVAgQJ6U1MVXOaj8PK2l7WJ3RER9xtqwdhxkhw/edit?usp=sharing"",""ระยอง!J27"")"),0)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IFERROR(__xludf.DUMMYFUNCTION("IMPORTRANGE(""https://docs.google.com/spreadsheets/d/1SX6NBoVAgQJ6U1MVXOaj8PK2l7WJ3RER9xtqwdhxkhw/edit?usp=sharing"",""ระยอง!I28"")"),0)</f>
        <v>0</v>
      </c>
      <c r="J88" s="204">
        <f ca="1">IFERROR(__xludf.DUMMYFUNCTION("IMPORTRANGE(""https://docs.google.com/spreadsheets/d/1SX6NBoVAgQJ6U1MVXOaj8PK2l7WJ3RER9xtqwdhxkhw/edit?usp=sharing"",""ระยอง!J28"")"),0)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IFERROR(__xludf.DUMMYFUNCTION("IMPORTRANGE(""https://docs.google.com/spreadsheets/d/1SX6NBoVAgQJ6U1MVXOaj8PK2l7WJ3RER9xtqwdhxkhw/edit?usp=sharing"",""ระยอง!J29"")"),0)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IFERROR(__xludf.DUMMYFUNCTION("IMPORTRANGE(""https://docs.google.com/spreadsheets/d/1SX6NBoVAgQJ6U1MVXOaj8PK2l7WJ3RER9xtqwdhxkhw/edit?usp=sharing"",""ระยอง!J30"")"),0)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IFERROR(__xludf.DUMMYFUNCTION("IMPORTRANGE(""https://docs.google.com/spreadsheets/d/1Yj_ptqi66GCucihVvJfMjLAmec39IyEx_6qawtMGysU/edit?usp=sharing"",""สบก!AR72"")"),0)</f>
        <v>0</v>
      </c>
      <c r="N98" s="169">
        <f ca="1">IFERROR(__xludf.DUMMYFUNCTION("IMPORTRANGE(""https://docs.google.com/spreadsheets/d/1Yj_ptqi66GCucihVvJfMjLAmec39IyEx_6qawtMGysU/edit?usp=sharing"",""สบก!AS72"")"),0)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IFERROR(__xludf.DUMMYFUNCTION("IMPORTRANGE(""https://docs.google.com/spreadsheets/d/1Yj_ptqi66GCucihVvJfMjLAmec39IyEx_6qawtMGysU/edit?usp=sharing"",""สบก!AO72"")"),0)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IFERROR(__xludf.DUMMYFUNCTION("IMPORTRANGE(""https://docs.google.com/spreadsheets/d/1SX6NBoVAgQJ6U1MVXOaj8PK2l7WJ3RER9xtqwdhxkhw/edit?usp=sharing"",""ระยอง!J39"")"),0)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IFERROR(__xludf.DUMMYFUNCTION("IMPORTRANGE(""https://docs.google.com/spreadsheets/d/1SX6NBoVAgQJ6U1MVXOaj8PK2l7WJ3RER9xtqwdhxkhw/edit?usp=sharing"",""ระยอง!J40"")"),0)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IFERROR(__xludf.DUMMYFUNCTION("IMPORTRANGE(""https://docs.google.com/spreadsheets/d/1SX6NBoVAgQJ6U1MVXOaj8PK2l7WJ3RER9xtqwdhxkhw/edit?usp=sharing"",""ระยอง!J41"")"),0)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IFERROR(__xludf.DUMMYFUNCTION("IMPORTRANGE(""https://docs.google.com/spreadsheets/d/1SX6NBoVAgQJ6U1MVXOaj8PK2l7WJ3RER9xtqwdhxkhw/edit?usp=sharing"",""ระยอง!J42"")"),0)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IFERROR(__xludf.DUMMYFUNCTION("IMPORTRANGE(""https://docs.google.com/spreadsheets/d/1SX6NBoVAgQJ6U1MVXOaj8PK2l7WJ3RER9xtqwdhxkhw/edit?usp=sharing"",""ระยอง!I43"")"),0)</f>
        <v>0</v>
      </c>
      <c r="J108" s="204">
        <f ca="1">IFERROR(__xludf.DUMMYFUNCTION("IMPORTRANGE(""https://docs.google.com/spreadsheets/d/1SX6NBoVAgQJ6U1MVXOaj8PK2l7WJ3RER9xtqwdhxkhw/edit?usp=sharing"",""ระยอง!J43"")"),0)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IFERROR(__xludf.DUMMYFUNCTION("IMPORTRANGE(""https://docs.google.com/spreadsheets/d/1SX6NBoVAgQJ6U1MVXOaj8PK2l7WJ3RER9xtqwdhxkhw/edit?usp=sharing"",""ระยอง!I44"")"),0)</f>
        <v>0</v>
      </c>
      <c r="J109" s="204">
        <f ca="1">IFERROR(__xludf.DUMMYFUNCTION("IMPORTRANGE(""https://docs.google.com/spreadsheets/d/1SX6NBoVAgQJ6U1MVXOaj8PK2l7WJ3RER9xtqwdhxkhw/edit?usp=sharing"",""ระยอง!J44"")"),0)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IFERROR(__xludf.DUMMYFUNCTION("IMPORTRANGE(""https://docs.google.com/spreadsheets/d/1SX6NBoVAgQJ6U1MVXOaj8PK2l7WJ3RER9xtqwdhxkhw/edit?usp=sharing"",""ระยอง!I45"")"),0)</f>
        <v>0</v>
      </c>
      <c r="J110" s="204">
        <f ca="1">IFERROR(__xludf.DUMMYFUNCTION("IMPORTRANGE(""https://docs.google.com/spreadsheets/d/1SX6NBoVAgQJ6U1MVXOaj8PK2l7WJ3RER9xtqwdhxkhw/edit?usp=sharing"",""ระยอง!J45"")"),0)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IFERROR(__xludf.DUMMYFUNCTION("IMPORTRANGE(""https://docs.google.com/spreadsheets/d/1SX6NBoVAgQJ6U1MVXOaj8PK2l7WJ3RER9xtqwdhxkhw/edit?usp=sharing"",""ระยอง!I46"")"),0)</f>
        <v>0</v>
      </c>
      <c r="J111" s="204">
        <f ca="1">IFERROR(__xludf.DUMMYFUNCTION("IMPORTRANGE(""https://docs.google.com/spreadsheets/d/1SX6NBoVAgQJ6U1MVXOaj8PK2l7WJ3RER9xtqwdhxkhw/edit?usp=sharing"",""ระยอง!J46"")"),0)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IFERROR(__xludf.DUMMYFUNCTION("IMPORTRANGE(""https://docs.google.com/spreadsheets/d/1SX6NBoVAgQJ6U1MVXOaj8PK2l7WJ3RER9xtqwdhxkhw/edit?usp=sharing"",""ระยอง!I47"")"),0)</f>
        <v>0</v>
      </c>
      <c r="J112" s="204">
        <f ca="1">IFERROR(__xludf.DUMMYFUNCTION("IMPORTRANGE(""https://docs.google.com/spreadsheets/d/1SX6NBoVAgQJ6U1MVXOaj8PK2l7WJ3RER9xtqwdhxkhw/edit?usp=sharing"",""ระยอง!J47"")"),0)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IFERROR(__xludf.DUMMYFUNCTION("IMPORTRANGE(""https://docs.google.com/spreadsheets/d/1SX6NBoVAgQJ6U1MVXOaj8PK2l7WJ3RER9xtqwdhxkhw/edit?usp=sharing"",""ระยอง!I48"")"),0)</f>
        <v>0</v>
      </c>
      <c r="J113" s="204">
        <f ca="1">IFERROR(__xludf.DUMMYFUNCTION("IMPORTRANGE(""https://docs.google.com/spreadsheets/d/1SX6NBoVAgQJ6U1MVXOaj8PK2l7WJ3RER9xtqwdhxkhw/edit?usp=sharing"",""ระยอง!J48"")"),0)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IFERROR(__xludf.DUMMYFUNCTION("IMPORTRANGE(""https://docs.google.com/spreadsheets/d/1SX6NBoVAgQJ6U1MVXOaj8PK2l7WJ3RER9xtqwdhxkhw/edit?usp=sharing"",""ระยอง!J49"")"),0)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IFERROR(__xludf.DUMMYFUNCTION("IMPORTRANGE(""https://docs.google.com/spreadsheets/d/1SX6NBoVAgQJ6U1MVXOaj8PK2l7WJ3RER9xtqwdhxkhw/edit?usp=sharing"",""ระยอง!J50"")"),0)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IFERROR(__xludf.DUMMYFUNCTION("IMPORTRANGE(""https://docs.google.com/spreadsheets/d/1Yj_ptqi66GCucihVvJfMjLAmec39IyEx_6qawtMGysU/edit?usp=sharing"",""สบก!BA72"")"),0)</f>
        <v>0</v>
      </c>
      <c r="N122" s="169">
        <f ca="1">IFERROR(__xludf.DUMMYFUNCTION("IMPORTRANGE(""https://docs.google.com/spreadsheets/d/1Yj_ptqi66GCucihVvJfMjLAmec39IyEx_6qawtMGysU/edit?usp=sharing"",""สบก!BB72"")"),0)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IFERROR(__xludf.DUMMYFUNCTION("IMPORTRANGE(""https://docs.google.com/spreadsheets/d/1Yj_ptqi66GCucihVvJfMjLAmec39IyEx_6qawtMGysU/edit?usp=sharing"",""สบก!AX72"")"),0)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IFERROR(__xludf.DUMMYFUNCTION("IMPORTRANGE(""https://docs.google.com/spreadsheets/d/1SX6NBoVAgQJ6U1MVXOaj8PK2l7WJ3RER9xtqwdhxkhw/edit?usp=sharing"",""ระยอง!J58"")"),0)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IFERROR(__xludf.DUMMYFUNCTION("IMPORTRANGE(""https://docs.google.com/spreadsheets/d/1SX6NBoVAgQJ6U1MVXOaj8PK2l7WJ3RER9xtqwdhxkhw/edit?usp=sharing"",""ระยอง!J59"")"),0)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IFERROR(__xludf.DUMMYFUNCTION("IMPORTRANGE(""https://docs.google.com/spreadsheets/d/1SX6NBoVAgQJ6U1MVXOaj8PK2l7WJ3RER9xtqwdhxkhw/edit?usp=sharing"",""ระยอง!J60"")"),0)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IFERROR(__xludf.DUMMYFUNCTION("IMPORTRANGE(""https://docs.google.com/spreadsheets/d/1SX6NBoVAgQJ6U1MVXOaj8PK2l7WJ3RER9xtqwdhxkhw/edit?usp=sharing"",""ระยอง!J61"")"),0)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IFERROR(__xludf.DUMMYFUNCTION("IMPORTRANGE(""https://docs.google.com/spreadsheets/d/1SX6NBoVAgQJ6U1MVXOaj8PK2l7WJ3RER9xtqwdhxkhw/edit?usp=sharing"",""ระยอง!I62"")"),0)</f>
        <v>0</v>
      </c>
      <c r="J132" s="204">
        <f ca="1">IFERROR(__xludf.DUMMYFUNCTION("IMPORTRANGE(""https://docs.google.com/spreadsheets/d/1SX6NBoVAgQJ6U1MVXOaj8PK2l7WJ3RER9xtqwdhxkhw/edit?usp=sharing"",""ระยอง!J62"")"),0)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IFERROR(__xludf.DUMMYFUNCTION("IMPORTRANGE(""https://docs.google.com/spreadsheets/d/1SX6NBoVAgQJ6U1MVXOaj8PK2l7WJ3RER9xtqwdhxkhw/edit?usp=sharing"",""ระยอง!I63"")"),0)</f>
        <v>0</v>
      </c>
      <c r="J133" s="204">
        <f ca="1">IFERROR(__xludf.DUMMYFUNCTION("IMPORTRANGE(""https://docs.google.com/spreadsheets/d/1SX6NBoVAgQJ6U1MVXOaj8PK2l7WJ3RER9xtqwdhxkhw/edit?usp=sharing"",""ระยอง!J63"")"),0)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IFERROR(__xludf.DUMMYFUNCTION("IMPORTRANGE(""https://docs.google.com/spreadsheets/d/1SX6NBoVAgQJ6U1MVXOaj8PK2l7WJ3RER9xtqwdhxkhw/edit?usp=sharing"",""ระยอง!J64"")"),0)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IFERROR(__xludf.DUMMYFUNCTION("IMPORTRANGE(""https://docs.google.com/spreadsheets/d/1SX6NBoVAgQJ6U1MVXOaj8PK2l7WJ3RER9xtqwdhxkhw/edit?usp=sharing"",""ระยอง!J65"")"),0)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IFERROR(__xludf.DUMMYFUNCTION("IMPORTRANGE(""https://docs.google.com/spreadsheets/d/1SX6NBoVAgQJ6U1MVXOaj8PK2l7WJ3RER9xtqwdhxkhw/edit?usp=sharing"",""ระยอง!I68"")"),20)</f>
        <v>20</v>
      </c>
      <c r="J138" s="268">
        <f ca="1">IFERROR(__xludf.DUMMYFUNCTION("IMPORTRANGE(""https://docs.google.com/spreadsheets/d/1SX6NBoVAgQJ6U1MVXOaj8PK2l7WJ3RER9xtqwdhxkhw/edit?usp=sharing"",""ระยอง!J68"")"),20)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340900</v>
      </c>
      <c r="M140" s="152">
        <f t="shared" ca="1" si="64"/>
        <v>267825</v>
      </c>
      <c r="N140" s="152">
        <f t="shared" ca="1" si="64"/>
        <v>198671.03</v>
      </c>
      <c r="O140" s="151">
        <f t="shared" ref="O140:O142" ca="1" si="65">IF(L140&gt;0,N140*100/L140,0)</f>
        <v>58.278389557054858</v>
      </c>
      <c r="P140" s="151">
        <f t="shared" ref="P140:P142" ca="1" si="66">IF(M140&gt;0,N140*100/M140,0)</f>
        <v>74.179419396994305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340900</v>
      </c>
      <c r="M142" s="157">
        <f t="shared" ca="1" si="68"/>
        <v>267825</v>
      </c>
      <c r="N142" s="157">
        <f t="shared" ca="1" si="68"/>
        <v>198671.03</v>
      </c>
      <c r="O142" s="156">
        <f t="shared" ca="1" si="65"/>
        <v>58.278389557054858</v>
      </c>
      <c r="P142" s="156">
        <f t="shared" ca="1" si="66"/>
        <v>74.179419396994305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340900</v>
      </c>
      <c r="M144" s="168">
        <f ca="1">IFERROR(__xludf.DUMMYFUNCTION("IMPORTRANGE(""https://docs.google.com/spreadsheets/d/1Yj_ptqi66GCucihVvJfMjLAmec39IyEx_6qawtMGysU/edit?usp=sharing"",""สบก!BJ72"")"),267825)</f>
        <v>267825</v>
      </c>
      <c r="N144" s="169">
        <f ca="1">IFERROR(__xludf.DUMMYFUNCTION("IMPORTRANGE(""https://docs.google.com/spreadsheets/d/1Yj_ptqi66GCucihVvJfMjLAmec39IyEx_6qawtMGysU/edit?usp=sharing"",""สบก!BK72"")"),198671.03)</f>
        <v>198671.03</v>
      </c>
      <c r="O144" s="169">
        <f ca="1">IF(L144&gt;0,N144*100/L144,0)</f>
        <v>58.278389557054858</v>
      </c>
      <c r="P144" s="169">
        <f ca="1">IF(M144&gt;0,N144*100/M144,0)</f>
        <v>74.179419396994305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IFERROR(__xludf.DUMMYFUNCTION("IMPORTRANGE(""https://docs.google.com/spreadsheets/d/1Yj_ptqi66GCucihVvJfMjLAmec39IyEx_6qawtMGysU/edit?usp=sharing"",""สบก!BF72"")"),232000)</f>
        <v>232000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IFERROR(__xludf.DUMMYFUNCTION("IMPORTRANGE(""https://docs.google.com/spreadsheets/d/1Yj_ptqi66GCucihVvJfMjLAmec39IyEx_6qawtMGysU/edit?usp=sharing"",""สบก!BG72"")"),108900)</f>
        <v>108900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IFERROR(__xludf.DUMMYFUNCTION("IMPORTRANGE(""https://docs.google.com/spreadsheets/d/1SX6NBoVAgQJ6U1MVXOaj8PK2l7WJ3RER9xtqwdhxkhw/edit?usp=sharing"",""ระยอง!I74"")"),4)</f>
        <v>4</v>
      </c>
      <c r="J149" s="276">
        <f ca="1">IFERROR(__xludf.DUMMYFUNCTION("IMPORTRANGE(""https://docs.google.com/spreadsheets/d/1SX6NBoVAgQJ6U1MVXOaj8PK2l7WJ3RER9xtqwdhxkhw/edit?usp=sharing"",""ระยอง!J74"")"),2)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IFERROR(__xludf.DUMMYFUNCTION("IMPORTRANGE(""https://docs.google.com/spreadsheets/d/1SX6NBoVAgQJ6U1MVXOaj8PK2l7WJ3RER9xtqwdhxkhw/edit?usp=sharing"",""ระยอง!J79"")"),0)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IFERROR(__xludf.DUMMYFUNCTION("IMPORTRANGE(""https://docs.google.com/spreadsheets/d/1SX6NBoVAgQJ6U1MVXOaj8PK2l7WJ3RER9xtqwdhxkhw/edit?usp=sharing"",""ระยอง!J80"")"),1)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IFERROR(__xludf.DUMMYFUNCTION("IMPORTRANGE(""https://docs.google.com/spreadsheets/d/1SX6NBoVAgQJ6U1MVXOaj8PK2l7WJ3RER9xtqwdhxkhw/edit?usp=sharing"",""ระยอง!J81"")"),1)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IFERROR(__xludf.DUMMYFUNCTION("IMPORTRANGE(""https://docs.google.com/spreadsheets/d/1SX6NBoVAgQJ6U1MVXOaj8PK2l7WJ3RER9xtqwdhxkhw/edit?usp=sharing"",""ระยอง!J82"")"),1)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IFERROR(__xludf.DUMMYFUNCTION("IMPORTRANGE(""https://docs.google.com/spreadsheets/d/1SX6NBoVAgQJ6U1MVXOaj8PK2l7WJ3RER9xtqwdhxkhw/edit?usp=sharing"",""ระยอง!I83"")"),4)</f>
        <v>4</v>
      </c>
      <c r="J158" s="189">
        <f ca="1">IFERROR(__xludf.DUMMYFUNCTION("IMPORTRANGE(""https://docs.google.com/spreadsheets/d/1SX6NBoVAgQJ6U1MVXOaj8PK2l7WJ3RER9xtqwdhxkhw/edit?usp=sharing"",""ระยอง!J83"")"),2)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IFERROR(__xludf.DUMMYFUNCTION("IMPORTRANGE(""https://docs.google.com/spreadsheets/d/1SX6NBoVAgQJ6U1MVXOaj8PK2l7WJ3RER9xtqwdhxkhw/edit?usp=sharing"",""ระยอง!J84"")"),0)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IFERROR(__xludf.DUMMYFUNCTION("IMPORTRANGE(""https://docs.google.com/spreadsheets/d/1SX6NBoVAgQJ6U1MVXOaj8PK2l7WJ3RER9xtqwdhxkhw/edit?usp=sharing"",""ระยอง!J85"")"),0)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IFERROR(__xludf.DUMMYFUNCTION("IMPORTRANGE(""https://docs.google.com/spreadsheets/d/1SX6NBoVAgQJ6U1MVXOaj8PK2l7WJ3RER9xtqwdhxkhw/edit?usp=sharing"",""ระยอง!J86"")"),0)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IFERROR(__xludf.DUMMYFUNCTION("IMPORTRANGE(""https://docs.google.com/spreadsheets/d/1SX6NBoVAgQJ6U1MVXOaj8PK2l7WJ3RER9xtqwdhxkhw/edit?usp=sharing"",""ระยอง!J87"")"),0)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IFERROR(__xludf.DUMMYFUNCTION("IMPORTRANGE(""https://docs.google.com/spreadsheets/d/1SX6NBoVAgQJ6U1MVXOaj8PK2l7WJ3RER9xtqwdhxkhw/edit?usp=sharing"",""ระยอง!J88"")"),0)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IFERROR(__xludf.DUMMYFUNCTION("IMPORTRANGE(""https://docs.google.com/spreadsheets/d/1SX6NBoVAgQJ6U1MVXOaj8PK2l7WJ3RER9xtqwdhxkhw/edit?usp=sharing"",""ระยอง!I89"")"),1)</f>
        <v>1</v>
      </c>
      <c r="J164" s="285">
        <f ca="1">IFERROR(__xludf.DUMMYFUNCTION("IMPORTRANGE(""https://docs.google.com/spreadsheets/d/1SX6NBoVAgQJ6U1MVXOaj8PK2l7WJ3RER9xtqwdhxkhw/edit?usp=sharing"",""ระยอง!J89"")"),1)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IFERROR(__xludf.DUMMYFUNCTION("IMPORTRANGE(""https://docs.google.com/spreadsheets/d/1SX6NBoVAgQJ6U1MVXOaj8PK2l7WJ3RER9xtqwdhxkhw/edit?usp=sharing"",""ระยอง!J94"")"),0)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IFERROR(__xludf.DUMMYFUNCTION("IMPORTRANGE(""https://docs.google.com/spreadsheets/d/1SX6NBoVAgQJ6U1MVXOaj8PK2l7WJ3RER9xtqwdhxkhw/edit?usp=sharing"",""ระยอง!J95"")"),1)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IFERROR(__xludf.DUMMYFUNCTION("IMPORTRANGE(""https://docs.google.com/spreadsheets/d/1SX6NBoVAgQJ6U1MVXOaj8PK2l7WJ3RER9xtqwdhxkhw/edit?usp=sharing"",""ระยอง!J96"")"),1)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IFERROR(__xludf.DUMMYFUNCTION("IMPORTRANGE(""https://docs.google.com/spreadsheets/d/1SX6NBoVAgQJ6U1MVXOaj8PK2l7WJ3RER9xtqwdhxkhw/edit?usp=sharing"",""ระยอง!J97"")"),1)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IFERROR(__xludf.DUMMYFUNCTION("IMPORTRANGE(""https://docs.google.com/spreadsheets/d/1SX6NBoVAgQJ6U1MVXOaj8PK2l7WJ3RER9xtqwdhxkhw/edit?usp=sharing"",""ระยอง!I98"")"),1)</f>
        <v>1</v>
      </c>
      <c r="J173" s="189">
        <f ca="1">IFERROR(__xludf.DUMMYFUNCTION("IMPORTRANGE(""https://docs.google.com/spreadsheets/d/1SX6NBoVAgQJ6U1MVXOaj8PK2l7WJ3RER9xtqwdhxkhw/edit?usp=sharing"",""ระยอง!J98"")"),1)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IFERROR(__xludf.DUMMYFUNCTION("IMPORTRANGE(""https://docs.google.com/spreadsheets/d/1SX6NBoVAgQJ6U1MVXOaj8PK2l7WJ3RER9xtqwdhxkhw/edit?usp=sharing"",""ระยอง!J99"")"),0)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IFERROR(__xludf.DUMMYFUNCTION("IMPORTRANGE(""https://docs.google.com/spreadsheets/d/1SX6NBoVAgQJ6U1MVXOaj8PK2l7WJ3RER9xtqwdhxkhw/edit?usp=sharing"",""ระยอง!J100"")"),0)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IFERROR(__xludf.DUMMYFUNCTION("IMPORTRANGE(""https://docs.google.com/spreadsheets/d/1SX6NBoVAgQJ6U1MVXOaj8PK2l7WJ3RER9xtqwdhxkhw/edit?usp=sharing"",""ระยอง!I101"")"),0)</f>
        <v>0</v>
      </c>
      <c r="J176" s="285">
        <f ca="1">IFERROR(__xludf.DUMMYFUNCTION("IMPORTRANGE(""https://docs.google.com/spreadsheets/d/1SX6NBoVAgQJ6U1MVXOaj8PK2l7WJ3RER9xtqwdhxkhw/edit?usp=sharing"",""ระยอง!J101"")"),0)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IFERROR(__xludf.DUMMYFUNCTION("IMPORTRANGE(""https://docs.google.com/spreadsheets/d/1SX6NBoVAgQJ6U1MVXOaj8PK2l7WJ3RER9xtqwdhxkhw/edit?usp=sharing"",""ระยอง!J106"")"),0)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IFERROR(__xludf.DUMMYFUNCTION("IMPORTRANGE(""https://docs.google.com/spreadsheets/d/1SX6NBoVAgQJ6U1MVXOaj8PK2l7WJ3RER9xtqwdhxkhw/edit?usp=sharing"",""ระยอง!J107"")"),0)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IFERROR(__xludf.DUMMYFUNCTION("IMPORTRANGE(""https://docs.google.com/spreadsheets/d/1SX6NBoVAgQJ6U1MVXOaj8PK2l7WJ3RER9xtqwdhxkhw/edit?usp=sharing"",""ระยอง!J108"")"),0)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IFERROR(__xludf.DUMMYFUNCTION("IMPORTRANGE(""https://docs.google.com/spreadsheets/d/1SX6NBoVAgQJ6U1MVXOaj8PK2l7WJ3RER9xtqwdhxkhw/edit?usp=sharing"",""ระยอง!J109"")"),0)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IFERROR(__xludf.DUMMYFUNCTION("IMPORTRANGE(""https://docs.google.com/spreadsheets/d/1SX6NBoVAgQJ6U1MVXOaj8PK2l7WJ3RER9xtqwdhxkhw/edit?usp=sharing"",""ระยอง!I110"")"),0)</f>
        <v>0</v>
      </c>
      <c r="J185" s="204">
        <f ca="1">IFERROR(__xludf.DUMMYFUNCTION("IMPORTRANGE(""https://docs.google.com/spreadsheets/d/1SX6NBoVAgQJ6U1MVXOaj8PK2l7WJ3RER9xtqwdhxkhw/edit?usp=sharing"",""ระยอง!J110"")"),0)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IFERROR(__xludf.DUMMYFUNCTION("IMPORTRANGE(""https://docs.google.com/spreadsheets/d/1SX6NBoVAgQJ6U1MVXOaj8PK2l7WJ3RER9xtqwdhxkhw/edit?usp=sharing"",""ระยอง!I111"")"),0)</f>
        <v>0</v>
      </c>
      <c r="J186" s="204">
        <f ca="1">IFERROR(__xludf.DUMMYFUNCTION("IMPORTRANGE(""https://docs.google.com/spreadsheets/d/1SX6NBoVAgQJ6U1MVXOaj8PK2l7WJ3RER9xtqwdhxkhw/edit?usp=sharing"",""ระยอง!J111"")"),0)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IFERROR(__xludf.DUMMYFUNCTION("IMPORTRANGE(""https://docs.google.com/spreadsheets/d/1SX6NBoVAgQJ6U1MVXOaj8PK2l7WJ3RER9xtqwdhxkhw/edit?usp=sharing"",""ระยอง!J112"")"),0)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IFERROR(__xludf.DUMMYFUNCTION("IMPORTRANGE(""https://docs.google.com/spreadsheets/d/1SX6NBoVAgQJ6U1MVXOaj8PK2l7WJ3RER9xtqwdhxkhw/edit?usp=sharing"",""ระยอง!J113"")"),0)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IFERROR(__xludf.DUMMYFUNCTION("IMPORTRANGE(""https://docs.google.com/spreadsheets/d/1SX6NBoVAgQJ6U1MVXOaj8PK2l7WJ3RER9xtqwdhxkhw/edit?usp=sharing"",""ระยอง!I114"")"),6400)</f>
        <v>6400</v>
      </c>
      <c r="J189" s="285">
        <f ca="1">IFERROR(__xludf.DUMMYFUNCTION("IMPORTRANGE(""https://docs.google.com/spreadsheets/d/1SX6NBoVAgQJ6U1MVXOaj8PK2l7WJ3RER9xtqwdhxkhw/edit?usp=sharing"",""ระยอง!J114"")"),0)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IFERROR(__xludf.DUMMYFUNCTION("IMPORTRANGE(""https://docs.google.com/spreadsheets/d/1SX6NBoVAgQJ6U1MVXOaj8PK2l7WJ3RER9xtqwdhxkhw/edit?usp=sharing"",""ระยอง!J119"")"),0)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IFERROR(__xludf.DUMMYFUNCTION("IMPORTRANGE(""https://docs.google.com/spreadsheets/d/1SX6NBoVAgQJ6U1MVXOaj8PK2l7WJ3RER9xtqwdhxkhw/edit?usp=sharing"",""ระยอง!J120"")"),1)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IFERROR(__xludf.DUMMYFUNCTION("IMPORTRANGE(""https://docs.google.com/spreadsheets/d/1SX6NBoVAgQJ6U1MVXOaj8PK2l7WJ3RER9xtqwdhxkhw/edit?usp=sharing"",""ระยอง!J121"")"),1)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IFERROR(__xludf.DUMMYFUNCTION("IMPORTRANGE(""https://docs.google.com/spreadsheets/d/1SX6NBoVAgQJ6U1MVXOaj8PK2l7WJ3RER9xtqwdhxkhw/edit?usp=sharing"",""ระยอง!J122"")"),0)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IFERROR(__xludf.DUMMYFUNCTION("IMPORTRANGE(""https://docs.google.com/spreadsheets/d/1SX6NBoVAgQJ6U1MVXOaj8PK2l7WJ3RER9xtqwdhxkhw/edit?usp=sharing"",""ระยอง!I124"")"),6400)</f>
        <v>6400</v>
      </c>
      <c r="J199" s="189">
        <f ca="1">IFERROR(__xludf.DUMMYFUNCTION("IMPORTRANGE(""https://docs.google.com/spreadsheets/d/1SX6NBoVAgQJ6U1MVXOaj8PK2l7WJ3RER9xtqwdhxkhw/edit?usp=sharing"",""ระยอง!J124"")"),0)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IFERROR(__xludf.DUMMYFUNCTION("IMPORTRANGE(""https://docs.google.com/spreadsheets/d/1SX6NBoVAgQJ6U1MVXOaj8PK2l7WJ3RER9xtqwdhxkhw/edit?usp=sharing"",""ระยอง!I125"")"),6400)</f>
        <v>6400</v>
      </c>
      <c r="J200" s="189">
        <f ca="1">IFERROR(__xludf.DUMMYFUNCTION("IMPORTRANGE(""https://docs.google.com/spreadsheets/d/1SX6NBoVAgQJ6U1MVXOaj8PK2l7WJ3RER9xtqwdhxkhw/edit?usp=sharing"",""ระยอง!J125"")"),0)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IFERROR(__xludf.DUMMYFUNCTION("IMPORTRANGE(""https://docs.google.com/spreadsheets/d/1SX6NBoVAgQJ6U1MVXOaj8PK2l7WJ3RER9xtqwdhxkhw/edit?usp=sharing"",""ระยอง!I126"")"),0)</f>
        <v>0</v>
      </c>
      <c r="J201" s="189">
        <f ca="1">IFERROR(__xludf.DUMMYFUNCTION("IMPORTRANGE(""https://docs.google.com/spreadsheets/d/1SX6NBoVAgQJ6U1MVXOaj8PK2l7WJ3RER9xtqwdhxkhw/edit?usp=sharing"",""ระยอง!J126"")"),0)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IFERROR(__xludf.DUMMYFUNCTION("IMPORTRANGE(""https://docs.google.com/spreadsheets/d/1SX6NBoVAgQJ6U1MVXOaj8PK2l7WJ3RER9xtqwdhxkhw/edit?usp=sharing"",""ระยอง!J127"")"),0)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IFERROR(__xludf.DUMMYFUNCTION("IMPORTRANGE(""https://docs.google.com/spreadsheets/d/1SX6NBoVAgQJ6U1MVXOaj8PK2l7WJ3RER9xtqwdhxkhw/edit?usp=sharing"",""ระยอง!J128"")"),0)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IFERROR(__xludf.DUMMYFUNCTION("IMPORTRANGE(""https://docs.google.com/spreadsheets/d/1SX6NBoVAgQJ6U1MVXOaj8PK2l7WJ3RER9xtqwdhxkhw/edit?usp=sharing"",""ระยอง!I129"")"),20)</f>
        <v>20</v>
      </c>
      <c r="J204" s="285">
        <f ca="1">IFERROR(__xludf.DUMMYFUNCTION("IMPORTRANGE(""https://docs.google.com/spreadsheets/d/1SX6NBoVAgQJ6U1MVXOaj8PK2l7WJ3RER9xtqwdhxkhw/edit?usp=sharing"",""ระยอง!J129"")"),20)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IFERROR(__xludf.DUMMYFUNCTION("IMPORTRANGE(""https://docs.google.com/spreadsheets/d/1SX6NBoVAgQJ6U1MVXOaj8PK2l7WJ3RER9xtqwdhxkhw/edit?usp=sharing"",""ระยอง!J134"")"),0)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IFERROR(__xludf.DUMMYFUNCTION("IMPORTRANGE(""https://docs.google.com/spreadsheets/d/1SX6NBoVAgQJ6U1MVXOaj8PK2l7WJ3RER9xtqwdhxkhw/edit?usp=sharing"",""ระยอง!J135"")"),1)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IFERROR(__xludf.DUMMYFUNCTION("IMPORTRANGE(""https://docs.google.com/spreadsheets/d/1SX6NBoVAgQJ6U1MVXOaj8PK2l7WJ3RER9xtqwdhxkhw/edit?usp=sharing"",""ระยอง!J136"")"),1)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IFERROR(__xludf.DUMMYFUNCTION("IMPORTRANGE(""https://docs.google.com/spreadsheets/d/1SX6NBoVAgQJ6U1MVXOaj8PK2l7WJ3RER9xtqwdhxkhw/edit?usp=sharing"",""ระยอง!J137"")"),1)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IFERROR(__xludf.DUMMYFUNCTION("IMPORTRANGE(""https://docs.google.com/spreadsheets/d/1SX6NBoVAgQJ6U1MVXOaj8PK2l7WJ3RER9xtqwdhxkhw/edit?usp=sharing"",""ระยอง!I138"")"),20)</f>
        <v>20</v>
      </c>
      <c r="J213" s="204">
        <f ca="1">IFERROR(__xludf.DUMMYFUNCTION("IMPORTRANGE(""https://docs.google.com/spreadsheets/d/1SX6NBoVAgQJ6U1MVXOaj8PK2l7WJ3RER9xtqwdhxkhw/edit?usp=sharing"",""ระยอง!J138"")"),20)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IFERROR(__xludf.DUMMYFUNCTION("IMPORTRANGE(""https://docs.google.com/spreadsheets/d/1SX6NBoVAgQJ6U1MVXOaj8PK2l7WJ3RER9xtqwdhxkhw/edit?usp=sharing"",""ระยอง!I140"")"),20)</f>
        <v>20</v>
      </c>
      <c r="J215" s="204">
        <f ca="1">IFERROR(__xludf.DUMMYFUNCTION("IMPORTRANGE(""https://docs.google.com/spreadsheets/d/1SX6NBoVAgQJ6U1MVXOaj8PK2l7WJ3RER9xtqwdhxkhw/edit?usp=sharing"",""ระยอง!J140"")"),0)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IFERROR(__xludf.DUMMYFUNCTION("IMPORTRANGE(""https://docs.google.com/spreadsheets/d/1SX6NBoVAgQJ6U1MVXOaj8PK2l7WJ3RER9xtqwdhxkhw/edit?usp=sharing"",""ระยอง!I141"")"),0)</f>
        <v>0</v>
      </c>
      <c r="J216" s="204">
        <f ca="1">IFERROR(__xludf.DUMMYFUNCTION("IMPORTRANGE(""https://docs.google.com/spreadsheets/d/1SX6NBoVAgQJ6U1MVXOaj8PK2l7WJ3RER9xtqwdhxkhw/edit?usp=sharing"",""ระยอง!J141"")"),0)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IFERROR(__xludf.DUMMYFUNCTION("IMPORTRANGE(""https://docs.google.com/spreadsheets/d/1SX6NBoVAgQJ6U1MVXOaj8PK2l7WJ3RER9xtqwdhxkhw/edit?usp=sharing"",""ระยอง!J142"")"),0)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IFERROR(__xludf.DUMMYFUNCTION("IMPORTRANGE(""https://docs.google.com/spreadsheets/d/1SX6NBoVAgQJ6U1MVXOaj8PK2l7WJ3RER9xtqwdhxkhw/edit?usp=sharing"",""ระยอง!J143"")"),0)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IFERROR(__xludf.DUMMYFUNCTION("IMPORTRANGE(""https://docs.google.com/spreadsheets/d/1SX6NBoVAgQJ6U1MVXOaj8PK2l7WJ3RER9xtqwdhxkhw/edit?usp=sharing"",""ระยอง!I144"")"),15)</f>
        <v>15</v>
      </c>
      <c r="J219" s="268">
        <f ca="1">IFERROR(__xludf.DUMMYFUNCTION("IMPORTRANGE(""https://docs.google.com/spreadsheets/d/1SX6NBoVAgQJ6U1MVXOaj8PK2l7WJ3RER9xtqwdhxkhw/edit?usp=sharing"",""ระยอง!J144"")"),15)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IFERROR(__xludf.DUMMYFUNCTION("IMPORTRANGE(""https://docs.google.com/spreadsheets/d/1Yj_ptqi66GCucihVvJfMjLAmec39IyEx_6qawtMGysU/edit?usp=sharing"",""สบก!BS72"")"),21125)</f>
        <v>21125</v>
      </c>
      <c r="N224" s="169">
        <f ca="1">IFERROR(__xludf.DUMMYFUNCTION("IMPORTRANGE(""https://docs.google.com/spreadsheets/d/1Yj_ptqi66GCucihVvJfMjLAmec39IyEx_6qawtMGysU/edit?usp=sharing"",""สบก!BT72"")"),21125)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IFERROR(__xludf.DUMMYFUNCTION("IMPORTRANGE(""https://docs.google.com/spreadsheets/d/1Yj_ptqi66GCucihVvJfMjLAmec39IyEx_6qawtMGysU/edit?usp=sharing"",""สบก!BP72"")"),21125)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IFERROR(__xludf.DUMMYFUNCTION("IMPORTRANGE(""https://docs.google.com/spreadsheets/d/1SX6NBoVAgQJ6U1MVXOaj8PK2l7WJ3RER9xtqwdhxkhw/edit?usp=sharing"",""ระยอง!I149"")"),15)</f>
        <v>15</v>
      </c>
      <c r="J229" s="268">
        <f ca="1">IFERROR(__xludf.DUMMYFUNCTION("IMPORTRANGE(""https://docs.google.com/spreadsheets/d/1SX6NBoVAgQJ6U1MVXOaj8PK2l7WJ3RER9xtqwdhxkhw/edit?usp=sharing"",""ระยอง!J149"")"),15)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IFERROR(__xludf.DUMMYFUNCTION("IMPORTRANGE(""https://docs.google.com/spreadsheets/d/1SX6NBoVAgQJ6U1MVXOaj8PK2l7WJ3RER9xtqwdhxkhw/edit?usp=sharing"",""ระยอง!J151"")"),0)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IFERROR(__xludf.DUMMYFUNCTION("IMPORTRANGE(""https://docs.google.com/spreadsheets/d/1SX6NBoVAgQJ6U1MVXOaj8PK2l7WJ3RER9xtqwdhxkhw/edit?usp=sharing"",""ระยอง!J152"")"),1)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IFERROR(__xludf.DUMMYFUNCTION("IMPORTRANGE(""https://docs.google.com/spreadsheets/d/1SX6NBoVAgQJ6U1MVXOaj8PK2l7WJ3RER9xtqwdhxkhw/edit?usp=sharing"",""ระยอง!J153"")"),1)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IFERROR(__xludf.DUMMYFUNCTION("IMPORTRANGE(""https://docs.google.com/spreadsheets/d/1SX6NBoVAgQJ6U1MVXOaj8PK2l7WJ3RER9xtqwdhxkhw/edit?usp=sharing"",""ระยอง!J154"")"),1)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IFERROR(__xludf.DUMMYFUNCTION("IMPORTRANGE(""https://docs.google.com/spreadsheets/d/1SX6NBoVAgQJ6U1MVXOaj8PK2l7WJ3RER9xtqwdhxkhw/edit?usp=sharing"",""ระยอง!I155"")"),15)</f>
        <v>15</v>
      </c>
      <c r="J235" s="189">
        <f ca="1">IFERROR(__xludf.DUMMYFUNCTION("IMPORTRANGE(""https://docs.google.com/spreadsheets/d/1SX6NBoVAgQJ6U1MVXOaj8PK2l7WJ3RER9xtqwdhxkhw/edit?usp=sharing"",""ระยอง!J155"")"),15)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IFERROR(__xludf.DUMMYFUNCTION("IMPORTRANGE(""https://docs.google.com/spreadsheets/d/1SX6NBoVAgQJ6U1MVXOaj8PK2l7WJ3RER9xtqwdhxkhw/edit?usp=sharing"",""ระยอง!J156"")"),0)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IFERROR(__xludf.DUMMYFUNCTION("IMPORTRANGE(""https://docs.google.com/spreadsheets/d/1SX6NBoVAgQJ6U1MVXOaj8PK2l7WJ3RER9xtqwdhxkhw/edit?usp=sharing"",""ระยอง!J157"")"),0)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IFERROR(__xludf.DUMMYFUNCTION("IMPORTRANGE(""https://docs.google.com/spreadsheets/d/1SX6NBoVAgQJ6U1MVXOaj8PK2l7WJ3RER9xtqwdhxkhw/edit?usp=sharing"",""ระยอง!I158"")"),0)</f>
        <v>0</v>
      </c>
      <c r="J238" s="268">
        <f ca="1">IFERROR(__xludf.DUMMYFUNCTION("IMPORTRANGE(""https://docs.google.com/spreadsheets/d/1SX6NBoVAgQJ6U1MVXOaj8PK2l7WJ3RER9xtqwdhxkhw/edit?usp=sharing"",""ระยอง!J158"")"),0)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IFERROR(__xludf.DUMMYFUNCTION("IMPORTRANGE(""https://docs.google.com/spreadsheets/d/1SX6NBoVAgQJ6U1MVXOaj8PK2l7WJ3RER9xtqwdhxkhw/edit?usp=sharing"",""ระยอง!J159"")"),"")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IFERROR(__xludf.DUMMYFUNCTION("IMPORTRANGE(""https://docs.google.com/spreadsheets/d/1SX6NBoVAgQJ6U1MVXOaj8PK2l7WJ3RER9xtqwdhxkhw/edit?usp=sharing"",""ระยอง!J161"")"),0)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IFERROR(__xludf.DUMMYFUNCTION("IMPORTRANGE(""https://docs.google.com/spreadsheets/d/1SX6NBoVAgQJ6U1MVXOaj8PK2l7WJ3RER9xtqwdhxkhw/edit?usp=sharing"",""ระยอง!J162"")"),0)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IFERROR(__xludf.DUMMYFUNCTION("IMPORTRANGE(""https://docs.google.com/spreadsheets/d/1SX6NBoVAgQJ6U1MVXOaj8PK2l7WJ3RER9xtqwdhxkhw/edit?usp=sharing"",""ระยอง!J163"")"),0)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IFERROR(__xludf.DUMMYFUNCTION("IMPORTRANGE(""https://docs.google.com/spreadsheets/d/1SX6NBoVAgQJ6U1MVXOaj8PK2l7WJ3RER9xtqwdhxkhw/edit?usp=sharing"",""ระยอง!I164"")"),0)</f>
        <v>0</v>
      </c>
      <c r="J244" s="188">
        <f ca="1">IFERROR(__xludf.DUMMYFUNCTION("IMPORTRANGE(""https://docs.google.com/spreadsheets/d/1SX6NBoVAgQJ6U1MVXOaj8PK2l7WJ3RER9xtqwdhxkhw/edit?usp=sharing"",""ระยอง!J164"")"),0)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IFERROR(__xludf.DUMMYFUNCTION("IMPORTRANGE(""https://docs.google.com/spreadsheets/d/1SX6NBoVAgQJ6U1MVXOaj8PK2l7WJ3RER9xtqwdhxkhw/edit?usp=sharing"",""ระยอง!J165"")"),0)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IFERROR(__xludf.DUMMYFUNCTION("IMPORTRANGE(""https://docs.google.com/spreadsheets/d/1SX6NBoVAgQJ6U1MVXOaj8PK2l7WJ3RER9xtqwdhxkhw/edit?usp=sharing"",""ระยอง!J166"")"),0)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IFERROR(__xludf.DUMMYFUNCTION("IMPORTRANGE(""https://docs.google.com/spreadsheets/d/1SX6NBoVAgQJ6U1MVXOaj8PK2l7WJ3RER9xtqwdhxkhw/edit?usp=sharing"",""ระยอง!I169"")"),25)</f>
        <v>25</v>
      </c>
      <c r="J249" s="317">
        <f ca="1">IFERROR(__xludf.DUMMYFUNCTION("IMPORTRANGE(""https://docs.google.com/spreadsheets/d/1SX6NBoVAgQJ6U1MVXOaj8PK2l7WJ3RER9xtqwdhxkhw/edit?usp=sharing"",""ระยอง!J169"")"),25)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129893</v>
      </c>
      <c r="O250" s="151">
        <f t="shared" ref="O250:O252" ca="1" si="78">IF(L250&gt;0,N250*100/L250,0)</f>
        <v>65.27286432160804</v>
      </c>
      <c r="P250" s="151">
        <f t="shared" ref="P250:P252" ca="1" si="79">IF(M250&gt;0,N250*100/M250,0)</f>
        <v>73.385875706214691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177000</v>
      </c>
      <c r="N252" s="157">
        <f t="shared" ca="1" si="81"/>
        <v>129893</v>
      </c>
      <c r="O252" s="156">
        <f t="shared" ca="1" si="78"/>
        <v>65.27286432160804</v>
      </c>
      <c r="P252" s="156">
        <f t="shared" ca="1" si="79"/>
        <v>73.385875706214691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IFERROR(__xludf.DUMMYFUNCTION("IMPORTRANGE(""https://docs.google.com/spreadsheets/d/1Yj_ptqi66GCucihVvJfMjLAmec39IyEx_6qawtMGysU/edit?usp=sharing"",""สบก!CB72"")"),177000)</f>
        <v>177000</v>
      </c>
      <c r="N254" s="169">
        <f ca="1">IFERROR(__xludf.DUMMYFUNCTION("IMPORTRANGE(""https://docs.google.com/spreadsheets/d/1Yj_ptqi66GCucihVvJfMjLAmec39IyEx_6qawtMGysU/edit?usp=sharing"",""สบก!CC72"")"),129893)</f>
        <v>129893</v>
      </c>
      <c r="O254" s="169">
        <f ca="1">IF(L254&gt;0,N254*100/L254,0)</f>
        <v>65.27286432160804</v>
      </c>
      <c r="P254" s="169">
        <f ca="1">IF(M254&gt;0,N254*100/M254,0)</f>
        <v>73.385875706214691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IFERROR(__xludf.DUMMYFUNCTION("IMPORTRANGE(""https://docs.google.com/spreadsheets/d/1Yj_ptqi66GCucihVvJfMjLAmec39IyEx_6qawtMGysU/edit?usp=sharing"",""สบก!BY72"")"),199000)</f>
        <v>199000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IFERROR(__xludf.DUMMYFUNCTION("IMPORTRANGE(""https://docs.google.com/spreadsheets/d/1SX6NBoVAgQJ6U1MVXOaj8PK2l7WJ3RER9xtqwdhxkhw/edit?usp=sharing"",""ระยอง!J175"")"),0)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IFERROR(__xludf.DUMMYFUNCTION("IMPORTRANGE(""https://docs.google.com/spreadsheets/d/1SX6NBoVAgQJ6U1MVXOaj8PK2l7WJ3RER9xtqwdhxkhw/edit?usp=sharing"",""ระยอง!J176"")"),1)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IFERROR(__xludf.DUMMYFUNCTION("IMPORTRANGE(""https://docs.google.com/spreadsheets/d/1SX6NBoVAgQJ6U1MVXOaj8PK2l7WJ3RER9xtqwdhxkhw/edit?usp=sharing"",""ระยอง!J177"")"),1)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IFERROR(__xludf.DUMMYFUNCTION("IMPORTRANGE(""https://docs.google.com/spreadsheets/d/1SX6NBoVAgQJ6U1MVXOaj8PK2l7WJ3RER9xtqwdhxkhw/edit?usp=sharing"",""ระยอง!J178"")"),1)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IFERROR(__xludf.DUMMYFUNCTION("IMPORTRANGE(""https://docs.google.com/spreadsheets/d/1SX6NBoVAgQJ6U1MVXOaj8PK2l7WJ3RER9xtqwdhxkhw/edit?usp=sharing"",""ระยอง!I179"")"),1)</f>
        <v>1</v>
      </c>
      <c r="J264" s="189">
        <f ca="1">IFERROR(__xludf.DUMMYFUNCTION("IMPORTRANGE(""https://docs.google.com/spreadsheets/d/1SX6NBoVAgQJ6U1MVXOaj8PK2l7WJ3RER9xtqwdhxkhw/edit?usp=sharing"",""ระยอง!J179"")"),1)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IFERROR(__xludf.DUMMYFUNCTION("IMPORTRANGE(""https://docs.google.com/spreadsheets/d/1SX6NBoVAgQJ6U1MVXOaj8PK2l7WJ3RER9xtqwdhxkhw/edit?usp=sharing"",""ระยอง!I180"")"),25)</f>
        <v>25</v>
      </c>
      <c r="J265" s="189">
        <f ca="1">IFERROR(__xludf.DUMMYFUNCTION("IMPORTRANGE(""https://docs.google.com/spreadsheets/d/1SX6NBoVAgQJ6U1MVXOaj8PK2l7WJ3RER9xtqwdhxkhw/edit?usp=sharing"",""ระยอง!J180"")"),25)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IFERROR(__xludf.DUMMYFUNCTION("IMPORTRANGE(""https://docs.google.com/spreadsheets/d/1SX6NBoVAgQJ6U1MVXOaj8PK2l7WJ3RER9xtqwdhxkhw/edit?usp=sharing"",""ระยอง!I181"")"),25)</f>
        <v>25</v>
      </c>
      <c r="J266" s="189">
        <f ca="1">IFERROR(__xludf.DUMMYFUNCTION("IMPORTRANGE(""https://docs.google.com/spreadsheets/d/1SX6NBoVAgQJ6U1MVXOaj8PK2l7WJ3RER9xtqwdhxkhw/edit?usp=sharing"",""ระยอง!J181"")"),0)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IFERROR(__xludf.DUMMYFUNCTION("IMPORTRANGE(""https://docs.google.com/spreadsheets/d/1SX6NBoVAgQJ6U1MVXOaj8PK2l7WJ3RER9xtqwdhxkhw/edit?usp=sharing"",""ระยอง!I182"")"),1)</f>
        <v>1</v>
      </c>
      <c r="J267" s="189">
        <f ca="1">IFERROR(__xludf.DUMMYFUNCTION("IMPORTRANGE(""https://docs.google.com/spreadsheets/d/1SX6NBoVAgQJ6U1MVXOaj8PK2l7WJ3RER9xtqwdhxkhw/edit?usp=sharing"",""ระยอง!J182"")"),1)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IFERROR(__xludf.DUMMYFUNCTION("IMPORTRANGE(""https://docs.google.com/spreadsheets/d/1SX6NBoVAgQJ6U1MVXOaj8PK2l7WJ3RER9xtqwdhxkhw/edit?usp=sharing"",""ระยอง!J183"")"),0)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IFERROR(__xludf.DUMMYFUNCTION("IMPORTRANGE(""https://docs.google.com/spreadsheets/d/1SX6NBoVAgQJ6U1MVXOaj8PK2l7WJ3RER9xtqwdhxkhw/edit?usp=sharing"",""ระยอง!J184"")"),0)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IFERROR(__xludf.DUMMYFUNCTION("IMPORTRANGE(""https://docs.google.com/spreadsheets/d/1SX6NBoVAgQJ6U1MVXOaj8PK2l7WJ3RER9xtqwdhxkhw/edit?usp=sharing"",""ระยอง!I185"")"),15)</f>
        <v>15</v>
      </c>
      <c r="J270" s="317">
        <f ca="1">IFERROR(__xludf.DUMMYFUNCTION("IMPORTRANGE(""https://docs.google.com/spreadsheets/d/1SX6NBoVAgQJ6U1MVXOaj8PK2l7WJ3RER9xtqwdhxkhw/edit?usp=sharing"",""ระยอง!J185"")"),15)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29710</v>
      </c>
      <c r="O271" s="151">
        <f t="shared" ref="O271:O273" ca="1" si="84">IF(L271&gt;0,N271*100/L271,0)</f>
        <v>53.822463768115945</v>
      </c>
      <c r="P271" s="151">
        <f t="shared" ref="P271:P273" ca="1" si="85">IF(M271&gt;0,N271*100/M271,0)</f>
        <v>92.124031007751938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29710</v>
      </c>
      <c r="O273" s="156">
        <f t="shared" ca="1" si="84"/>
        <v>53.822463768115945</v>
      </c>
      <c r="P273" s="156">
        <f t="shared" ca="1" si="85"/>
        <v>92.124031007751938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IFERROR(__xludf.DUMMYFUNCTION("IMPORTRANGE(""https://docs.google.com/spreadsheets/d/1Yj_ptqi66GCucihVvJfMjLAmec39IyEx_6qawtMGysU/edit?usp=sharing"",""สบก!CK72"")"),32250)</f>
        <v>32250</v>
      </c>
      <c r="N275" s="169">
        <f ca="1">IFERROR(__xludf.DUMMYFUNCTION("IMPORTRANGE(""https://docs.google.com/spreadsheets/d/1Yj_ptqi66GCucihVvJfMjLAmec39IyEx_6qawtMGysU/edit?usp=sharing"",""สบก!CL72"")"),29710)</f>
        <v>29710</v>
      </c>
      <c r="O275" s="169">
        <f ca="1">IF(L275&gt;0,N275*100/L275,0)</f>
        <v>53.822463768115945</v>
      </c>
      <c r="P275" s="169">
        <f ca="1">IF(M275&gt;0,N275*100/M275,0)</f>
        <v>92.124031007751938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IFERROR(__xludf.DUMMYFUNCTION("IMPORTRANGE(""https://docs.google.com/spreadsheets/d/1Yj_ptqi66GCucihVvJfMjLAmec39IyEx_6qawtMGysU/edit?usp=sharing"",""สบก!CH72"")"),55200)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IFERROR(__xludf.DUMMYFUNCTION("IMPORTRANGE(""https://docs.google.com/spreadsheets/d/1SX6NBoVAgQJ6U1MVXOaj8PK2l7WJ3RER9xtqwdhxkhw/edit?usp=sharing"",""ระยอง!J191"")"),0)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IFERROR(__xludf.DUMMYFUNCTION("IMPORTRANGE(""https://docs.google.com/spreadsheets/d/1SX6NBoVAgQJ6U1MVXOaj8PK2l7WJ3RER9xtqwdhxkhw/edit?usp=sharing"",""ระยอง!J192"")"),1)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IFERROR(__xludf.DUMMYFUNCTION("IMPORTRANGE(""https://docs.google.com/spreadsheets/d/1SX6NBoVAgQJ6U1MVXOaj8PK2l7WJ3RER9xtqwdhxkhw/edit?usp=sharing"",""ระยอง!J193"")"),1)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IFERROR(__xludf.DUMMYFUNCTION("IMPORTRANGE(""https://docs.google.com/spreadsheets/d/1SX6NBoVAgQJ6U1MVXOaj8PK2l7WJ3RER9xtqwdhxkhw/edit?usp=sharing"",""ระยอง!J194"")"),1)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IFERROR(__xludf.DUMMYFUNCTION("IMPORTRANGE(""https://docs.google.com/spreadsheets/d/1SX6NBoVAgQJ6U1MVXOaj8PK2l7WJ3RER9xtqwdhxkhw/edit?usp=sharing"",""ระยอง!I195"")"),15)</f>
        <v>15</v>
      </c>
      <c r="J285" s="189">
        <f ca="1">IFERROR(__xludf.DUMMYFUNCTION("IMPORTRANGE(""https://docs.google.com/spreadsheets/d/1SX6NBoVAgQJ6U1MVXOaj8PK2l7WJ3RER9xtqwdhxkhw/edit?usp=sharing"",""ระยอง!J195"")"),15)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IFERROR(__xludf.DUMMYFUNCTION("IMPORTRANGE(""https://docs.google.com/spreadsheets/d/1SX6NBoVAgQJ6U1MVXOaj8PK2l7WJ3RER9xtqwdhxkhw/edit?usp=sharing"",""ระยอง!J196"")"),0)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IFERROR(__xludf.DUMMYFUNCTION("IMPORTRANGE(""https://docs.google.com/spreadsheets/d/1SX6NBoVAgQJ6U1MVXOaj8PK2l7WJ3RER9xtqwdhxkhw/edit?usp=sharing"",""ระยอง!J197"")"),0)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IFERROR(__xludf.DUMMYFUNCTION("IMPORTRANGE(""https://docs.google.com/spreadsheets/d/1SX6NBoVAgQJ6U1MVXOaj8PK2l7WJ3RER9xtqwdhxkhw/edit?usp=sharing"",""ระยอง!I199"")"),0)</f>
        <v>0</v>
      </c>
      <c r="J289" s="317">
        <f ca="1">IFERROR(__xludf.DUMMYFUNCTION("IMPORTRANGE(""https://docs.google.com/spreadsheets/d/1SX6NBoVAgQJ6U1MVXOaj8PK2l7WJ3RER9xtqwdhxkhw/edit?usp=sharing"",""ระยอง!J199"")"),0)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IFERROR(__xludf.DUMMYFUNCTION("IMPORTRANGE(""https://docs.google.com/spreadsheets/d/1Yj_ptqi66GCucihVvJfMjLAmec39IyEx_6qawtMGysU/edit?usp=sharing"",""สบก!CT72"")"),0)</f>
        <v>0</v>
      </c>
      <c r="N294" s="169">
        <f ca="1">IFERROR(__xludf.DUMMYFUNCTION("IMPORTRANGE(""https://docs.google.com/spreadsheets/d/1Yj_ptqi66GCucihVvJfMjLAmec39IyEx_6qawtMGysU/edit?usp=sharing"",""สบก!CU72"")"),0)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IFERROR(__xludf.DUMMYFUNCTION("IMPORTRANGE(""https://docs.google.com/spreadsheets/d/1Yj_ptqi66GCucihVvJfMjLAmec39IyEx_6qawtMGysU/edit?usp=sharing"",""สบก!CQ72"")"),0)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IFERROR(__xludf.DUMMYFUNCTION("IMPORTRANGE(""https://docs.google.com/spreadsheets/d/1SX6NBoVAgQJ6U1MVXOaj8PK2l7WJ3RER9xtqwdhxkhw/edit?usp=sharing"",""ระยอง!J205"")"),0)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IFERROR(__xludf.DUMMYFUNCTION("IMPORTRANGE(""https://docs.google.com/spreadsheets/d/1SX6NBoVAgQJ6U1MVXOaj8PK2l7WJ3RER9xtqwdhxkhw/edit?usp=sharing"",""ระยอง!J206"")"),0)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IFERROR(__xludf.DUMMYFUNCTION("IMPORTRANGE(""https://docs.google.com/spreadsheets/d/1SX6NBoVAgQJ6U1MVXOaj8PK2l7WJ3RER9xtqwdhxkhw/edit?usp=sharing"",""ระยอง!J207"")"),0)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IFERROR(__xludf.DUMMYFUNCTION("IMPORTRANGE(""https://docs.google.com/spreadsheets/d/1SX6NBoVAgQJ6U1MVXOaj8PK2l7WJ3RER9xtqwdhxkhw/edit?usp=sharing"",""ระยอง!J208"")"),0)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IFERROR(__xludf.DUMMYFUNCTION("IMPORTRANGE(""https://docs.google.com/spreadsheets/d/1SX6NBoVAgQJ6U1MVXOaj8PK2l7WJ3RER9xtqwdhxkhw/edit?usp=sharing"",""ระยอง!I209"")"),0)</f>
        <v>0</v>
      </c>
      <c r="J304" s="204">
        <f ca="1">IFERROR(__xludf.DUMMYFUNCTION("IMPORTRANGE(""https://docs.google.com/spreadsheets/d/1SX6NBoVAgQJ6U1MVXOaj8PK2l7WJ3RER9xtqwdhxkhw/edit?usp=sharing"",""ระยอง!J209"")"),0)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IFERROR(__xludf.DUMMYFUNCTION("IMPORTRANGE(""https://docs.google.com/spreadsheets/d/1SX6NBoVAgQJ6U1MVXOaj8PK2l7WJ3RER9xtqwdhxkhw/edit?usp=sharing"",""ระยอง!I211"")"),0)</f>
        <v>0</v>
      </c>
      <c r="J306" s="204">
        <f ca="1">IFERROR(__xludf.DUMMYFUNCTION("IMPORTRANGE(""https://docs.google.com/spreadsheets/d/1SX6NBoVAgQJ6U1MVXOaj8PK2l7WJ3RER9xtqwdhxkhw/edit?usp=sharing"",""ระยอง!J211"")"),0)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IFERROR(__xludf.DUMMYFUNCTION("IMPORTRANGE(""https://docs.google.com/spreadsheets/d/1SX6NBoVAgQJ6U1MVXOaj8PK2l7WJ3RER9xtqwdhxkhw/edit?usp=sharing"",""ระยอง!J212"")"),0)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IFERROR(__xludf.DUMMYFUNCTION("IMPORTRANGE(""https://docs.google.com/spreadsheets/d/1SX6NBoVAgQJ6U1MVXOaj8PK2l7WJ3RER9xtqwdhxkhw/edit?usp=sharing"",""ระยอง!J213"")"),0)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IFERROR(__xludf.DUMMYFUNCTION("IMPORTRANGE(""https://docs.google.com/spreadsheets/d/1SX6NBoVAgQJ6U1MVXOaj8PK2l7WJ3RER9xtqwdhxkhw/edit?usp=sharing"",""ระยอง!I214"")"),0)</f>
        <v>0</v>
      </c>
      <c r="J309" s="334">
        <f ca="1">IFERROR(__xludf.DUMMYFUNCTION("IMPORTRANGE(""https://docs.google.com/spreadsheets/d/1SX6NBoVAgQJ6U1MVXOaj8PK2l7WJ3RER9xtqwdhxkhw/edit?usp=sharing"",""ระยอง!J214"")"),0)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IFERROR(__xludf.DUMMYFUNCTION("IMPORTRANGE(""https://docs.google.com/spreadsheets/d/1Yj_ptqi66GCucihVvJfMjLAmec39IyEx_6qawtMGysU/edit?usp=sharing"",""สบก!DC72"")"),0)</f>
        <v>0</v>
      </c>
      <c r="N314" s="169">
        <f ca="1">IFERROR(__xludf.DUMMYFUNCTION("IMPORTRANGE(""https://docs.google.com/spreadsheets/d/1Yj_ptqi66GCucihVvJfMjLAmec39IyEx_6qawtMGysU/edit?usp=sharing"",""สบก!DD72"")"),0)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IFERROR(__xludf.DUMMYFUNCTION("IMPORTRANGE(""https://docs.google.com/spreadsheets/d/1Yj_ptqi66GCucihVvJfMjLAmec39IyEx_6qawtMGysU/edit?usp=sharing"",""สบก!CZ72"")"),0)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IFERROR(__xludf.DUMMYFUNCTION("IMPORTRANGE(""https://docs.google.com/spreadsheets/d/1SX6NBoVAgQJ6U1MVXOaj8PK2l7WJ3RER9xtqwdhxkhw/edit?usp=sharing"",""ระยอง!J220"")"),0)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IFERROR(__xludf.DUMMYFUNCTION("IMPORTRANGE(""https://docs.google.com/spreadsheets/d/1SX6NBoVAgQJ6U1MVXOaj8PK2l7WJ3RER9xtqwdhxkhw/edit?usp=sharing"",""ระยอง!J221"")"),0)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IFERROR(__xludf.DUMMYFUNCTION("IMPORTRANGE(""https://docs.google.com/spreadsheets/d/1SX6NBoVAgQJ6U1MVXOaj8PK2l7WJ3RER9xtqwdhxkhw/edit?usp=sharing"",""ระยอง!J222"")"),0)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IFERROR(__xludf.DUMMYFUNCTION("IMPORTRANGE(""https://docs.google.com/spreadsheets/d/1SX6NBoVAgQJ6U1MVXOaj8PK2l7WJ3RER9xtqwdhxkhw/edit?usp=sharing"",""ระยอง!J223"")"),0)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IFERROR(__xludf.DUMMYFUNCTION("IMPORTRANGE(""https://docs.google.com/spreadsheets/d/1SX6NBoVAgQJ6U1MVXOaj8PK2l7WJ3RER9xtqwdhxkhw/edit?usp=sharing"",""ระยอง!I224"")"),0)</f>
        <v>0</v>
      </c>
      <c r="J324" s="204">
        <f ca="1">IFERROR(__xludf.DUMMYFUNCTION("IMPORTRANGE(""https://docs.google.com/spreadsheets/d/1SX6NBoVAgQJ6U1MVXOaj8PK2l7WJ3RER9xtqwdhxkhw/edit?usp=sharing"",""ระยอง!J224"")"),0)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IFERROR(__xludf.DUMMYFUNCTION("IMPORTRANGE(""https://docs.google.com/spreadsheets/d/1SX6NBoVAgQJ6U1MVXOaj8PK2l7WJ3RER9xtqwdhxkhw/edit?usp=sharing"",""ระยอง!J225"")"),0)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IFERROR(__xludf.DUMMYFUNCTION("IMPORTRANGE(""https://docs.google.com/spreadsheets/d/1SX6NBoVAgQJ6U1MVXOaj8PK2l7WJ3RER9xtqwdhxkhw/edit?usp=sharing"",""ระยอง!J226"")"),0)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IFERROR(__xludf.DUMMYFUNCTION("IMPORTRANGE(""https://docs.google.com/spreadsheets/d/1SX6NBoVAgQJ6U1MVXOaj8PK2l7WJ3RER9xtqwdhxkhw/edit?usp=sharing"",""ระยอง!I228"")"),62)</f>
        <v>62</v>
      </c>
      <c r="J328" s="340">
        <f ca="1">IFERROR(__xludf.DUMMYFUNCTION("IMPORTRANGE(""https://docs.google.com/spreadsheets/d/1SX6NBoVAgQJ6U1MVXOaj8PK2l7WJ3RER9xtqwdhxkhw/edit?usp=sharing"",""ระยอง!J228"")"),33)</f>
        <v>33</v>
      </c>
      <c r="K328" s="318">
        <f ca="1">IF(I328&gt;0,J328*100/I328,0)</f>
        <v>53.225806451612904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786020</v>
      </c>
      <c r="M329" s="152">
        <f t="shared" ca="1" si="98"/>
        <v>617930</v>
      </c>
      <c r="N329" s="152">
        <f t="shared" ca="1" si="98"/>
        <v>521806.43</v>
      </c>
      <c r="O329" s="151">
        <f t="shared" ref="O329:O331" ca="1" si="99">IF(L329&gt;0,N329*100/L329,0)</f>
        <v>66.385897305412072</v>
      </c>
      <c r="P329" s="151">
        <f t="shared" ref="P329:P331" ca="1" si="100">IF(M329&gt;0,N329*100/M329,0)</f>
        <v>84.44426229508197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786020</v>
      </c>
      <c r="M331" s="157">
        <f t="shared" ca="1" si="102"/>
        <v>617930</v>
      </c>
      <c r="N331" s="157">
        <f t="shared" ca="1" si="102"/>
        <v>521806.43</v>
      </c>
      <c r="O331" s="156">
        <f t="shared" ca="1" si="99"/>
        <v>66.385897305412072</v>
      </c>
      <c r="P331" s="156">
        <f t="shared" ca="1" si="100"/>
        <v>84.44426229508197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639020</v>
      </c>
      <c r="M333" s="168">
        <f ca="1">IFERROR(__xludf.DUMMYFUNCTION("IMPORTRANGE(""https://docs.google.com/spreadsheets/d/1Yj_ptqi66GCucihVvJfMjLAmec39IyEx_6qawtMGysU/edit?usp=sharing"",""สบก!DL72"")"),470930)</f>
        <v>470930</v>
      </c>
      <c r="N333" s="169">
        <f ca="1">IFERROR(__xludf.DUMMYFUNCTION("IMPORTRANGE(""https://docs.google.com/spreadsheets/d/1Yj_ptqi66GCucihVvJfMjLAmec39IyEx_6qawtMGysU/edit?usp=sharing"",""สบก!DM72"")"),374806.43)</f>
        <v>374806.43</v>
      </c>
      <c r="O333" s="169">
        <f ca="1">IF(L333&gt;0,N333*100/L333,0)</f>
        <v>58.653317580044444</v>
      </c>
      <c r="P333" s="169">
        <f ca="1">IF(M333&gt;0,N333*100/M333,0)</f>
        <v>79.588565179538364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IFERROR(__xludf.DUMMYFUNCTION("IMPORTRANGE(""https://docs.google.com/spreadsheets/d/1Yj_ptqi66GCucihVvJfMjLAmec39IyEx_6qawtMGysU/edit?usp=sharing"",""สบก!DH72"")"),381200)</f>
        <v>381200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IFERROR(__xludf.DUMMYFUNCTION("IMPORTRANGE(""https://docs.google.com/spreadsheets/d/1Yj_ptqi66GCucihVvJfMjLAmec39IyEx_6qawtMGysU/edit?usp=sharing"",""สบก!DI72"")"),257820)</f>
        <v>257820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IFERROR(__xludf.DUMMYFUNCTION("IMPORTRANGE(""https://docs.google.com/spreadsheets/d/1SX6NBoVAgQJ6U1MVXOaj8PK2l7WJ3RER9xtqwdhxkhw/edit?usp=sharing"",""ระยอง!I234"")"),0)</f>
        <v>0</v>
      </c>
      <c r="J339" s="188">
        <f ca="1">IFERROR(__xludf.DUMMYFUNCTION("IMPORTRANGE(""https://docs.google.com/spreadsheets/d/1SX6NBoVAgQJ6U1MVXOaj8PK2l7WJ3RER9xtqwdhxkhw/edit?usp=sharing"",""ระยอง!J234"")"),105)</f>
        <v>105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IFERROR(__xludf.DUMMYFUNCTION("IMPORTRANGE(""https://docs.google.com/spreadsheets/d/1SX6NBoVAgQJ6U1MVXOaj8PK2l7WJ3RER9xtqwdhxkhw/edit?usp=sharing"",""ระยอง!I235"")"),775)</f>
        <v>775</v>
      </c>
      <c r="J340" s="188">
        <f ca="1">IFERROR(__xludf.DUMMYFUNCTION("IMPORTRANGE(""https://docs.google.com/spreadsheets/d/1SX6NBoVAgQJ6U1MVXOaj8PK2l7WJ3RER9xtqwdhxkhw/edit?usp=sharing"",""ระยอง!J235"")"),608.84)</f>
        <v>608.84</v>
      </c>
      <c r="K340" s="343">
        <f t="shared" ca="1" si="103"/>
        <v>78.56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IFERROR(__xludf.DUMMYFUNCTION("IMPORTRANGE(""https://docs.google.com/spreadsheets/d/1SX6NBoVAgQJ6U1MVXOaj8PK2l7WJ3RER9xtqwdhxkhw/edit?usp=sharing"",""ระยอง!I236"")"),62)</f>
        <v>62</v>
      </c>
      <c r="J341" s="188">
        <f ca="1">IFERROR(__xludf.DUMMYFUNCTION("IMPORTRANGE(""https://docs.google.com/spreadsheets/d/1SX6NBoVAgQJ6U1MVXOaj8PK2l7WJ3RER9xtqwdhxkhw/edit?usp=sharing"",""ระยอง!J236"")"),39)</f>
        <v>39</v>
      </c>
      <c r="K341" s="343">
        <f t="shared" ca="1" si="103"/>
        <v>62.903225806451616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8">
        <f ca="1">IFERROR(__xludf.DUMMYFUNCTION("IMPORTRANGE(""https://docs.google.com/spreadsheets/d/1SX6NBoVAgQJ6U1MVXOaj8PK2l7WJ3RER9xtqwdhxkhw/edit?usp=sharing"",""ระยอง!J237"")"),352.55)</f>
        <v>352.55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IFERROR(__xludf.DUMMYFUNCTION("IMPORTRANGE(""https://docs.google.com/spreadsheets/d/1SX6NBoVAgQJ6U1MVXOaj8PK2l7WJ3RER9xtqwdhxkhw/edit?usp=sharing"",""ระยอง!I238"")"),62)</f>
        <v>62</v>
      </c>
      <c r="J343" s="188">
        <f ca="1">IFERROR(__xludf.DUMMYFUNCTION("IMPORTRANGE(""https://docs.google.com/spreadsheets/d/1SX6NBoVAgQJ6U1MVXOaj8PK2l7WJ3RER9xtqwdhxkhw/edit?usp=sharing"",""ระยอง!J238"")"),0)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8">
        <f ca="1">IFERROR(__xludf.DUMMYFUNCTION("IMPORTRANGE(""https://docs.google.com/spreadsheets/d/1SX6NBoVAgQJ6U1MVXOaj8PK2l7WJ3RER9xtqwdhxkhw/edit?usp=sharing"",""ระยอง!J239"")"),0)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IFERROR(__xludf.DUMMYFUNCTION("IMPORTRANGE(""https://docs.google.com/spreadsheets/d/1SX6NBoVAgQJ6U1MVXOaj8PK2l7WJ3RER9xtqwdhxkhw/edit?usp=sharing"",""ระยอง!I240"")"),62)</f>
        <v>62</v>
      </c>
      <c r="J345" s="188">
        <f ca="1">IFERROR(__xludf.DUMMYFUNCTION("IMPORTRANGE(""https://docs.google.com/spreadsheets/d/1SX6NBoVAgQJ6U1MVXOaj8PK2l7WJ3RER9xtqwdhxkhw/edit?usp=sharing"",""ระยอง!J240"")"),33)</f>
        <v>33</v>
      </c>
      <c r="K345" s="343">
        <f t="shared" ca="1" si="103"/>
        <v>53.225806451612904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8">
        <f ca="1">IFERROR(__xludf.DUMMYFUNCTION("IMPORTRANGE(""https://docs.google.com/spreadsheets/d/1SX6NBoVAgQJ6U1MVXOaj8PK2l7WJ3RER9xtqwdhxkhw/edit?usp=sharing"",""ระยอง!J241"")"),289.06)</f>
        <v>289.06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IFERROR(__xludf.DUMMYFUNCTION("IMPORTRANGE(""https://docs.google.com/spreadsheets/d/1SX6NBoVAgQJ6U1MVXOaj8PK2l7WJ3RER9xtqwdhxkhw/edit?usp=sharing"",""ระยอง!L242"")"),1088449)</f>
        <v>1088449</v>
      </c>
      <c r="M347" s="358"/>
      <c r="N347" s="358">
        <f ca="1">IFERROR(__xludf.DUMMYFUNCTION("IMPORTRANGE(""https://docs.google.com/spreadsheets/d/1SX6NBoVAgQJ6U1MVXOaj8PK2l7WJ3RER9xtqwdhxkhw/edit?usp=sharing"",""ระยอง!M242"")"),514707)</f>
        <v>514707</v>
      </c>
      <c r="O347" s="358">
        <f ca="1">+IF(L347&gt;0,N347*100/L347,0)</f>
        <v>47.288113636927406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IFERROR(__xludf.DUMMYFUNCTION("IMPORTRANGE(""https://docs.google.com/spreadsheets/d/1SX6NBoVAgQJ6U1MVXOaj8PK2l7WJ3RER9xtqwdhxkhw/edit?usp=sharing"",""ระยอง!M244"")"),103627)</f>
        <v>103627</v>
      </c>
      <c r="O349" s="373">
        <f ca="1">+IF(L349&gt;0,N349*100/L349,0)</f>
        <v>36.935771314513829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IFERROR(__xludf.DUMMYFUNCTION("IMPORTRANGE(""https://docs.google.com/spreadsheets/d/1SX6NBoVAgQJ6U1MVXOaj8PK2l7WJ3RER9xtqwdhxkhw/edit?usp=sharing"",""ระยอง!J245"")"),25)</f>
        <v>25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IFERROR(__xludf.DUMMYFUNCTION("IMPORTRANGE(""https://docs.google.com/spreadsheets/d/1SX6NBoVAgQJ6U1MVXOaj8PK2l7WJ3RER9xtqwdhxkhw/edit?usp=sharing"",""ระยอง!L246"")"),0)</f>
        <v>0</v>
      </c>
      <c r="M351" s="164"/>
      <c r="N351" s="164">
        <f ca="1">IFERROR(__xludf.DUMMYFUNCTION("IMPORTRANGE(""https://docs.google.com/spreadsheets/d/1SX6NBoVAgQJ6U1MVXOaj8PK2l7WJ3RER9xtqwdhxkhw/edit?usp=sharing"",""ระยอง!M246"")"),0)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IFERROR(__xludf.DUMMYFUNCTION("IMPORTRANGE(""https://docs.google.com/spreadsheets/d/1SX6NBoVAgQJ6U1MVXOaj8PK2l7WJ3RER9xtqwdhxkhw/edit?usp=sharing"",""ระยอง!L247"")"),280560)</f>
        <v>280560</v>
      </c>
      <c r="M352" s="165"/>
      <c r="N352" s="164">
        <f ca="1">IFERROR(__xludf.DUMMYFUNCTION("IMPORTRANGE(""https://docs.google.com/spreadsheets/d/1SX6NBoVAgQJ6U1MVXOaj8PK2l7WJ3RER9xtqwdhxkhw/edit?usp=sharing"",""ระยอง!M247"")"),103627)</f>
        <v>103627</v>
      </c>
      <c r="O352" s="165">
        <f t="shared" ca="1" si="105"/>
        <v>36.935771314513829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IFERROR(__xludf.DUMMYFUNCTION("IMPORTRANGE(""https://docs.google.com/spreadsheets/d/1SX6NBoVAgQJ6U1MVXOaj8PK2l7WJ3RER9xtqwdhxkhw/edit?usp=sharing"",""ระยอง!L248"")"),0)</f>
        <v>0</v>
      </c>
      <c r="M353" s="169"/>
      <c r="N353" s="169">
        <f ca="1">IFERROR(__xludf.DUMMYFUNCTION("IMPORTRANGE(""https://docs.google.com/spreadsheets/d/1SX6NBoVAgQJ6U1MVXOaj8PK2l7WJ3RER9xtqwdhxkhw/edit?usp=sharing"",""ระยอง!M248"")"),0)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IFERROR(__xludf.DUMMYFUNCTION("IMPORTRANGE(""https://docs.google.com/spreadsheets/d/1SX6NBoVAgQJ6U1MVXOaj8PK2l7WJ3RER9xtqwdhxkhw/edit?usp=sharing"",""ระยอง!L249"")"),280560)</f>
        <v>280560</v>
      </c>
      <c r="M354" s="169"/>
      <c r="N354" s="168">
        <f ca="1">IFERROR(__xludf.DUMMYFUNCTION("IMPORTRANGE(""https://docs.google.com/spreadsheets/d/1SX6NBoVAgQJ6U1MVXOaj8PK2l7WJ3RER9xtqwdhxkhw/edit?usp=sharing"",""ระยอง!M249"")"),103627)</f>
        <v>103627</v>
      </c>
      <c r="O354" s="169">
        <f t="shared" ca="1" si="105"/>
        <v>36.935771314513829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IFERROR(__xludf.DUMMYFUNCTION("IMPORTRANGE(""https://docs.google.com/spreadsheets/d/1SX6NBoVAgQJ6U1MVXOaj8PK2l7WJ3RER9xtqwdhxkhw/edit?usp=sharing"",""ระยอง!M250"")"),33775)</f>
        <v>33775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IFERROR(__xludf.DUMMYFUNCTION("IMPORTRANGE(""https://docs.google.com/spreadsheets/d/1SX6NBoVAgQJ6U1MVXOaj8PK2l7WJ3RER9xtqwdhxkhw/edit?usp=sharing"",""ระยอง!M251"")"),0)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IFERROR(__xludf.DUMMYFUNCTION("IMPORTRANGE(""https://docs.google.com/spreadsheets/d/1SX6NBoVAgQJ6U1MVXOaj8PK2l7WJ3RER9xtqwdhxkhw/edit?usp=sharing"",""ระยอง!M252"")"),64532)</f>
        <v>64532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IFERROR(__xludf.DUMMYFUNCTION("IMPORTRANGE(""https://docs.google.com/spreadsheets/d/1SX6NBoVAgQJ6U1MVXOaj8PK2l7WJ3RER9xtqwdhxkhw/edit?usp=sharing"",""ระยอง!M253"")"),5320)</f>
        <v>5320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IFERROR(__xludf.DUMMYFUNCTION("IMPORTRANGE(""https://docs.google.com/spreadsheets/d/1SX6NBoVAgQJ6U1MVXOaj8PK2l7WJ3RER9xtqwdhxkhw/edit?usp=sharing"",""ระยอง!J255"")"),0)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IFERROR(__xludf.DUMMYFUNCTION("IMPORTRANGE(""https://docs.google.com/spreadsheets/d/1SX6NBoVAgQJ6U1MVXOaj8PK2l7WJ3RER9xtqwdhxkhw/edit?usp=sharing"",""ระยอง!J256"")"),1)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IFERROR(__xludf.DUMMYFUNCTION("IMPORTRANGE(""https://docs.google.com/spreadsheets/d/1SX6NBoVAgQJ6U1MVXOaj8PK2l7WJ3RER9xtqwdhxkhw/edit?usp=sharing"",""ระยอง!J257"")"),1)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IFERROR(__xludf.DUMMYFUNCTION("IMPORTRANGE(""https://docs.google.com/spreadsheets/d/1SX6NBoVAgQJ6U1MVXOaj8PK2l7WJ3RER9xtqwdhxkhw/edit?usp=sharing"",""ระยอง!J258"")"),1)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IFERROR(__xludf.DUMMYFUNCTION("IMPORTRANGE(""https://docs.google.com/spreadsheets/d/1SX6NBoVAgQJ6U1MVXOaj8PK2l7WJ3RER9xtqwdhxkhw/edit?usp=sharing"",""ระยอง!J166"")"),0)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IFERROR(__xludf.DUMMYFUNCTION("IMPORTRANGE(""https://docs.google.com/spreadsheets/d/1SX6NBoVAgQJ6U1MVXOaj8PK2l7WJ3RER9xtqwdhxkhw/edit?usp=sharing"",""ระยอง!J166"")"),0)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IFERROR(__xludf.DUMMYFUNCTION("IMPORTRANGE(""https://docs.google.com/spreadsheets/d/1SX6NBoVAgQJ6U1MVXOaj8PK2l7WJ3RER9xtqwdhxkhw/edit?usp=sharing"",""ระยอง!J166"")"),0)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IFERROR(__xludf.DUMMYFUNCTION("IMPORTRANGE(""https://docs.google.com/spreadsheets/d/1SX6NBoVAgQJ6U1MVXOaj8PK2l7WJ3RER9xtqwdhxkhw/edit?usp=sharing"",""ระยอง!J166"")"),0)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IFERROR(__xludf.DUMMYFUNCTION("IMPORTRANGE(""https://docs.google.com/spreadsheets/d/1SX6NBoVAgQJ6U1MVXOaj8PK2l7WJ3RER9xtqwdhxkhw/edit?usp=sharing"",""ระยอง!I263"")"),25)</f>
        <v>25</v>
      </c>
      <c r="J368" s="188">
        <f ca="1">IFERROR(__xludf.DUMMYFUNCTION("IMPORTRANGE(""https://docs.google.com/spreadsheets/d/1SX6NBoVAgQJ6U1MVXOaj8PK2l7WJ3RER9xtqwdhxkhw/edit?usp=sharing"",""ระยอง!J263"")"),25)</f>
        <v>25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IFERROR(__xludf.DUMMYFUNCTION("IMPORTRANGE(""https://docs.google.com/spreadsheets/d/1SX6NBoVAgQJ6U1MVXOaj8PK2l7WJ3RER9xtqwdhxkhw/edit?usp=sharing"",""ระยอง!I164"")"),0)</f>
        <v>0</v>
      </c>
      <c r="J369" s="204">
        <f ca="1">IFERROR(__xludf.DUMMYFUNCTION("IMPORTRANGE(""https://docs.google.com/spreadsheets/d/1SX6NBoVAgQJ6U1MVXOaj8PK2l7WJ3RER9xtqwdhxkhw/edit?usp=sharing"",""ระยอง!J164"")"),0)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IFERROR(__xludf.DUMMYFUNCTION("IMPORTRANGE(""https://docs.google.com/spreadsheets/d/1SX6NBoVAgQJ6U1MVXOaj8PK2l7WJ3RER9xtqwdhxkhw/edit?usp=sharing"",""ระยอง!I265"")"),25)</f>
        <v>25</v>
      </c>
      <c r="J370" s="204">
        <f ca="1">IFERROR(__xludf.DUMMYFUNCTION("IMPORTRANGE(""https://docs.google.com/spreadsheets/d/1SX6NBoVAgQJ6U1MVXOaj8PK2l7WJ3RER9xtqwdhxkhw/edit?usp=sharing"",""ระยอง!J265"")"),25)</f>
        <v>25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IFERROR(__xludf.DUMMYFUNCTION("IMPORTRANGE(""https://docs.google.com/spreadsheets/d/1SX6NBoVAgQJ6U1MVXOaj8PK2l7WJ3RER9xtqwdhxkhw/edit?usp=sharing"",""ระยอง!I164"")"),0)</f>
        <v>0</v>
      </c>
      <c r="J371" s="189">
        <f ca="1">IFERROR(__xludf.DUMMYFUNCTION("IMPORTRANGE(""https://docs.google.com/spreadsheets/d/1SX6NBoVAgQJ6U1MVXOaj8PK2l7WJ3RER9xtqwdhxkhw/edit?usp=sharing"",""ระยอง!J164"")"),0)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IFERROR(__xludf.DUMMYFUNCTION("IMPORTRANGE(""https://docs.google.com/spreadsheets/d/1SX6NBoVAgQJ6U1MVXOaj8PK2l7WJ3RER9xtqwdhxkhw/edit?usp=sharing"",""ระยอง!I267"")"),25)</f>
        <v>25</v>
      </c>
      <c r="J372" s="189">
        <f ca="1">IFERROR(__xludf.DUMMYFUNCTION("IMPORTRANGE(""https://docs.google.com/spreadsheets/d/1SX6NBoVAgQJ6U1MVXOaj8PK2l7WJ3RER9xtqwdhxkhw/edit?usp=sharing"",""ระยอง!J267"")"),25)</f>
        <v>25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IFERROR(__xludf.DUMMYFUNCTION("IMPORTRANGE(""https://docs.google.com/spreadsheets/d/1SX6NBoVAgQJ6U1MVXOaj8PK2l7WJ3RER9xtqwdhxkhw/edit?usp=sharing"",""ระยอง!I164"")"),0)</f>
        <v>0</v>
      </c>
      <c r="J373" s="204">
        <f ca="1">IFERROR(__xludf.DUMMYFUNCTION("IMPORTRANGE(""https://docs.google.com/spreadsheets/d/1SX6NBoVAgQJ6U1MVXOaj8PK2l7WJ3RER9xtqwdhxkhw/edit?usp=sharing"",""ระยอง!J164"")"),0)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IFERROR(__xludf.DUMMYFUNCTION("IMPORTRANGE(""https://docs.google.com/spreadsheets/d/1SX6NBoVAgQJ6U1MVXOaj8PK2l7WJ3RER9xtqwdhxkhw/edit?usp=sharing"",""ระยอง!I164"")"),0)</f>
        <v>0</v>
      </c>
      <c r="J374" s="188">
        <f ca="1">IFERROR(__xludf.DUMMYFUNCTION("IMPORTRANGE(""https://docs.google.com/spreadsheets/d/1SX6NBoVAgQJ6U1MVXOaj8PK2l7WJ3RER9xtqwdhxkhw/edit?usp=sharing"",""ระยอง!J164"")"),0)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IFERROR(__xludf.DUMMYFUNCTION("IMPORTRANGE(""https://docs.google.com/spreadsheets/d/1SX6NBoVAgQJ6U1MVXOaj8PK2l7WJ3RER9xtqwdhxkhw/edit?usp=sharing"",""ระยอง!I270"")"),80)</f>
        <v>80</v>
      </c>
      <c r="J375" s="188">
        <f ca="1">IFERROR(__xludf.DUMMYFUNCTION("IMPORTRANGE(""https://docs.google.com/spreadsheets/d/1SX6NBoVAgQJ6U1MVXOaj8PK2l7WJ3RER9xtqwdhxkhw/edit?usp=sharing"",""ระยอง!J270"")"),0)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IFERROR(__xludf.DUMMYFUNCTION("IMPORTRANGE(""https://docs.google.com/spreadsheets/d/1SX6NBoVAgQJ6U1MVXOaj8PK2l7WJ3RER9xtqwdhxkhw/edit?usp=sharing"",""ระยอง!I271"")"),15)</f>
        <v>15</v>
      </c>
      <c r="J376" s="189">
        <f ca="1">IFERROR(__xludf.DUMMYFUNCTION("IMPORTRANGE(""https://docs.google.com/spreadsheets/d/1SX6NBoVAgQJ6U1MVXOaj8PK2l7WJ3RER9xtqwdhxkhw/edit?usp=sharing"",""ระยอง!J271"")"),0)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IFERROR(__xludf.DUMMYFUNCTION("IMPORTRANGE(""https://docs.google.com/spreadsheets/d/1SX6NBoVAgQJ6U1MVXOaj8PK2l7WJ3RER9xtqwdhxkhw/edit?usp=sharing"",""ระยอง!I272"")"),65)</f>
        <v>65</v>
      </c>
      <c r="J377" s="204">
        <f ca="1">IFERROR(__xludf.DUMMYFUNCTION("IMPORTRANGE(""https://docs.google.com/spreadsheets/d/1SX6NBoVAgQJ6U1MVXOaj8PK2l7WJ3RER9xtqwdhxkhw/edit?usp=sharing"",""ระยอง!J272"")"),0)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IFERROR(__xludf.DUMMYFUNCTION("IMPORTRANGE(""https://docs.google.com/spreadsheets/d/1SX6NBoVAgQJ6U1MVXOaj8PK2l7WJ3RER9xtqwdhxkhw/edit?usp=sharing"",""ระยอง!J273"")"),0)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IFERROR(__xludf.DUMMYFUNCTION("IMPORTRANGE(""https://docs.google.com/spreadsheets/d/1SX6NBoVAgQJ6U1MVXOaj8PK2l7WJ3RER9xtqwdhxkhw/edit?usp=sharing"",""ระยอง!J274"")"),0)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IFERROR(__xludf.DUMMYFUNCTION("IMPORTRANGE(""https://docs.google.com/spreadsheets/d/1SX6NBoVAgQJ6U1MVXOaj8PK2l7WJ3RER9xtqwdhxkhw/edit?usp=sharing"",""ระยอง!M275"")"),68970)</f>
        <v>68970</v>
      </c>
      <c r="O380" s="373">
        <f ca="1">+IF(L380&gt;0,N380*100/L380,0)</f>
        <v>33.228945846984004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IFERROR(__xludf.DUMMYFUNCTION("IMPORTRANGE(""https://docs.google.com/spreadsheets/d/1SX6NBoVAgQJ6U1MVXOaj8PK2l7WJ3RER9xtqwdhxkhw/edit?usp=sharing"",""ระยอง!L277"")"),0)</f>
        <v>0</v>
      </c>
      <c r="M382" s="164"/>
      <c r="N382" s="164">
        <f ca="1">IFERROR(__xludf.DUMMYFUNCTION("IMPORTRANGE(""https://docs.google.com/spreadsheets/d/1SX6NBoVAgQJ6U1MVXOaj8PK2l7WJ3RER9xtqwdhxkhw/edit?usp=sharing"",""ระยอง!M277"")"),0)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IFERROR(__xludf.DUMMYFUNCTION("IMPORTRANGE(""https://docs.google.com/spreadsheets/d/1SX6NBoVAgQJ6U1MVXOaj8PK2l7WJ3RER9xtqwdhxkhw/edit?usp=sharing"",""ระยอง!L278"")"),207560)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IFERROR(__xludf.DUMMYFUNCTION("IMPORTRANGE(""https://docs.google.com/spreadsheets/d/1SX6NBoVAgQJ6U1MVXOaj8PK2l7WJ3RER9xtqwdhxkhw/edit?usp=sharing"",""ระยอง!M278"")"),68970)</f>
        <v>68970</v>
      </c>
      <c r="O383" s="165">
        <f t="shared" ca="1" si="109"/>
        <v>33.228945846984004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IFERROR(__xludf.DUMMYFUNCTION("IMPORTRANGE(""https://docs.google.com/spreadsheets/d/1SX6NBoVAgQJ6U1MVXOaj8PK2l7WJ3RER9xtqwdhxkhw/edit?usp=sharing"",""ระยอง!L279"")"),0)</f>
        <v>0</v>
      </c>
      <c r="M384" s="169"/>
      <c r="N384" s="169">
        <f ca="1">IFERROR(__xludf.DUMMYFUNCTION("IMPORTRANGE(""https://docs.google.com/spreadsheets/d/1SX6NBoVAgQJ6U1MVXOaj8PK2l7WJ3RER9xtqwdhxkhw/edit?usp=sharing"",""ระยอง!M279"")"),0)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IFERROR(__xludf.DUMMYFUNCTION("IMPORTRANGE(""https://docs.google.com/spreadsheets/d/1SX6NBoVAgQJ6U1MVXOaj8PK2l7WJ3RER9xtqwdhxkhw/edit?usp=sharing"",""ระยอง!L280"")"),207560)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IFERROR(__xludf.DUMMYFUNCTION("IMPORTRANGE(""https://docs.google.com/spreadsheets/d/1SX6NBoVAgQJ6U1MVXOaj8PK2l7WJ3RER9xtqwdhxkhw/edit?usp=sharing"",""ระยอง!M280"")"),68970)</f>
        <v>68970</v>
      </c>
      <c r="O385" s="169">
        <f t="shared" ca="1" si="109"/>
        <v>33.228945846984004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IFERROR(__xludf.DUMMYFUNCTION("IMPORTRANGE(""https://docs.google.com/spreadsheets/d/1SX6NBoVAgQJ6U1MVXOaj8PK2l7WJ3RER9xtqwdhxkhw/edit?usp=sharing"",""ระยอง!M282"")"),0)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IFERROR(__xludf.DUMMYFUNCTION("IMPORTRANGE(""https://docs.google.com/spreadsheets/d/1SX6NBoVAgQJ6U1MVXOaj8PK2l7WJ3RER9xtqwdhxkhw/edit?usp=sharing"",""ระยอง!M284"")"),10170)</f>
        <v>10170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IFERROR(__xludf.DUMMYFUNCTION("IMPORTRANGE(""https://docs.google.com/spreadsheets/d/1SX6NBoVAgQJ6U1MVXOaj8PK2l7WJ3RER9xtqwdhxkhw/edit?usp=sharing"",""ระยอง!J286"")"),0)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IFERROR(__xludf.DUMMYFUNCTION("IMPORTRANGE(""https://docs.google.com/spreadsheets/d/1SX6NBoVAgQJ6U1MVXOaj8PK2l7WJ3RER9xtqwdhxkhw/edit?usp=sharing"",""ระยอง!J287"")"),1)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IFERROR(__xludf.DUMMYFUNCTION("IMPORTRANGE(""https://docs.google.com/spreadsheets/d/1SX6NBoVAgQJ6U1MVXOaj8PK2l7WJ3RER9xtqwdhxkhw/edit?usp=sharing"",""ระยอง!J288"")"),1)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IFERROR(__xludf.DUMMYFUNCTION("IMPORTRANGE(""https://docs.google.com/spreadsheets/d/1SX6NBoVAgQJ6U1MVXOaj8PK2l7WJ3RER9xtqwdhxkhw/edit?usp=sharing"",""ระยอง!J289"")"),1)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IFERROR(__xludf.DUMMYFUNCTION("IMPORTRANGE(""https://docs.google.com/spreadsheets/d/1SX6NBoVAgQJ6U1MVXOaj8PK2l7WJ3RER9xtqwdhxkhw/edit?usp=sharing"",""ระยอง!I291"")"),20)</f>
        <v>20</v>
      </c>
      <c r="J396" s="198">
        <f ca="1">IFERROR(__xludf.DUMMYFUNCTION("IMPORTRANGE(""https://docs.google.com/spreadsheets/d/1SX6NBoVAgQJ6U1MVXOaj8PK2l7WJ3RER9xtqwdhxkhw/edit?usp=sharing"",""ระยอง!J291"")"),20)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IFERROR(__xludf.DUMMYFUNCTION("IMPORTRANGE(""https://docs.google.com/spreadsheets/d/1SX6NBoVAgQJ6U1MVXOaj8PK2l7WJ3RER9xtqwdhxkhw/edit?usp=sharing"",""ระยอง!I292"")"),200)</f>
        <v>200</v>
      </c>
      <c r="J397" s="198">
        <f ca="1">IFERROR(__xludf.DUMMYFUNCTION("IMPORTRANGE(""https://docs.google.com/spreadsheets/d/1SX6NBoVAgQJ6U1MVXOaj8PK2l7WJ3RER9xtqwdhxkhw/edit?usp=sharing"",""ระยอง!J292"")"),0)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IFERROR(__xludf.DUMMYFUNCTION("IMPORTRANGE(""https://docs.google.com/spreadsheets/d/1SX6NBoVAgQJ6U1MVXOaj8PK2l7WJ3RER9xtqwdhxkhw/edit?usp=sharing"",""ระยอง!I293"")"),20)</f>
        <v>20</v>
      </c>
      <c r="J398" s="198">
        <f ca="1">IFERROR(__xludf.DUMMYFUNCTION("IMPORTRANGE(""https://docs.google.com/spreadsheets/d/1SX6NBoVAgQJ6U1MVXOaj8PK2l7WJ3RER9xtqwdhxkhw/edit?usp=sharing"",""ระยอง!J293"")"),0)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IFERROR(__xludf.DUMMYFUNCTION("IMPORTRANGE(""https://docs.google.com/spreadsheets/d/1SX6NBoVAgQJ6U1MVXOaj8PK2l7WJ3RER9xtqwdhxkhw/edit?usp=sharing"",""ระยอง!J294"")"),0)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IFERROR(__xludf.DUMMYFUNCTION("IMPORTRANGE(""https://docs.google.com/spreadsheets/d/1SX6NBoVAgQJ6U1MVXOaj8PK2l7WJ3RER9xtqwdhxkhw/edit?usp=sharing"",""ระยอง!J295"")"),0)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IFERROR(__xludf.DUMMYFUNCTION("IMPORTRANGE(""https://docs.google.com/spreadsheets/d/1SX6NBoVAgQJ6U1MVXOaj8PK2l7WJ3RER9xtqwdhxkhw/edit?usp=sharing"",""ระยอง!M296"")"),140160)</f>
        <v>140160</v>
      </c>
      <c r="O401" s="373">
        <f ca="1">+IF(L401&gt;0,N401*100/L401,0)</f>
        <v>89.823122276339404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IFERROR(__xludf.DUMMYFUNCTION("IMPORTRANGE(""https://docs.google.com/spreadsheets/d/1SX6NBoVAgQJ6U1MVXOaj8PK2l7WJ3RER9xtqwdhxkhw/edit?usp=sharing"",""ระยอง!L298"")"),0)</f>
        <v>0</v>
      </c>
      <c r="M403" s="164"/>
      <c r="N403" s="169">
        <f ca="1">IFERROR(__xludf.DUMMYFUNCTION("IMPORTRANGE(""https://docs.google.com/spreadsheets/d/1SX6NBoVAgQJ6U1MVXOaj8PK2l7WJ3RER9xtqwdhxkhw/edit?usp=sharing"",""ระยอง!M298"")"),0)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IFERROR(__xludf.DUMMYFUNCTION("IMPORTRANGE(""https://docs.google.com/spreadsheets/d/1SX6NBoVAgQJ6U1MVXOaj8PK2l7WJ3RER9xtqwdhxkhw/edit?usp=sharing"",""ระยอง!L299"")"),156040)</f>
        <v>156040</v>
      </c>
      <c r="M404" s="165"/>
      <c r="N404" s="169">
        <f ca="1">IFERROR(__xludf.DUMMYFUNCTION("IMPORTRANGE(""https://docs.google.com/spreadsheets/d/1SX6NBoVAgQJ6U1MVXOaj8PK2l7WJ3RER9xtqwdhxkhw/edit?usp=sharing"",""ระยอง!M299"")"),140160)</f>
        <v>140160</v>
      </c>
      <c r="O404" s="169">
        <f t="shared" ca="1" si="112"/>
        <v>89.823122276339404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IFERROR(__xludf.DUMMYFUNCTION("IMPORTRANGE(""https://docs.google.com/spreadsheets/d/1SX6NBoVAgQJ6U1MVXOaj8PK2l7WJ3RER9xtqwdhxkhw/edit?usp=sharing"",""ระยอง!L300"")"),0)</f>
        <v>0</v>
      </c>
      <c r="M405" s="169"/>
      <c r="N405" s="169">
        <f ca="1">IFERROR(__xludf.DUMMYFUNCTION("IMPORTRANGE(""https://docs.google.com/spreadsheets/d/1SX6NBoVAgQJ6U1MVXOaj8PK2l7WJ3RER9xtqwdhxkhw/edit?usp=sharing"",""ระยอง!M300"")"),0)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IFERROR(__xludf.DUMMYFUNCTION("IMPORTRANGE(""https://docs.google.com/spreadsheets/d/1SX6NBoVAgQJ6U1MVXOaj8PK2l7WJ3RER9xtqwdhxkhw/edit?usp=sharing"",""ระยอง!L301"")"),156040)</f>
        <v>156040</v>
      </c>
      <c r="M406" s="169"/>
      <c r="N406" s="169">
        <f ca="1">IFERROR(__xludf.DUMMYFUNCTION("IMPORTRANGE(""https://docs.google.com/spreadsheets/d/1SX6NBoVAgQJ6U1MVXOaj8PK2l7WJ3RER9xtqwdhxkhw/edit?usp=sharing"",""ระยอง!M301"")"),140160)</f>
        <v>140160</v>
      </c>
      <c r="O406" s="169">
        <f t="shared" ca="1" si="112"/>
        <v>89.823122276339404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IFERROR(__xludf.DUMMYFUNCTION("IMPORTRANGE(""https://docs.google.com/spreadsheets/d/1SX6NBoVAgQJ6U1MVXOaj8PK2l7WJ3RER9xtqwdhxkhw/edit?usp=sharing"",""ระยอง!M302"")"),92540)</f>
        <v>92540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IFERROR(__xludf.DUMMYFUNCTION("IMPORTRANGE(""https://docs.google.com/spreadsheets/d/1SX6NBoVAgQJ6U1MVXOaj8PK2l7WJ3RER9xtqwdhxkhw/edit?usp=sharing"",""ระยอง!M303"")"),33700)</f>
        <v>33700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IFERROR(__xludf.DUMMYFUNCTION("IMPORTRANGE(""https://docs.google.com/spreadsheets/d/1SX6NBoVAgQJ6U1MVXOaj8PK2l7WJ3RER9xtqwdhxkhw/edit?usp=sharing"",""ระยอง!M305"")"),13920)</f>
        <v>13920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IFERROR(__xludf.DUMMYFUNCTION("IMPORTRANGE(""https://docs.google.com/spreadsheets/d/1SX6NBoVAgQJ6U1MVXOaj8PK2l7WJ3RER9xtqwdhxkhw/edit?usp=sharing"",""ระยอง!J307"")"),0)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IFERROR(__xludf.DUMMYFUNCTION("IMPORTRANGE(""https://docs.google.com/spreadsheets/d/1SX6NBoVAgQJ6U1MVXOaj8PK2l7WJ3RER9xtqwdhxkhw/edit?usp=sharing"",""ระยอง!J308"")"),1)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IFERROR(__xludf.DUMMYFUNCTION("IMPORTRANGE(""https://docs.google.com/spreadsheets/d/1SX6NBoVAgQJ6U1MVXOaj8PK2l7WJ3RER9xtqwdhxkhw/edit?usp=sharing"",""ระยอง!J309"")"),1)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IFERROR(__xludf.DUMMYFUNCTION("IMPORTRANGE(""https://docs.google.com/spreadsheets/d/1SX6NBoVAgQJ6U1MVXOaj8PK2l7WJ3RER9xtqwdhxkhw/edit?usp=sharing"",""ระยอง!J310"")"),1)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IFERROR(__xludf.DUMMYFUNCTION("IMPORTRANGE(""https://docs.google.com/spreadsheets/d/1SX6NBoVAgQJ6U1MVXOaj8PK2l7WJ3RER9xtqwdhxkhw/edit?usp=sharing"",""ระยอง!I311"")"),45)</f>
        <v>45</v>
      </c>
      <c r="J416" s="201">
        <f ca="1">IFERROR(__xludf.DUMMYFUNCTION("IMPORTRANGE(""https://docs.google.com/spreadsheets/d/1SX6NBoVAgQJ6U1MVXOaj8PK2l7WJ3RER9xtqwdhxkhw/edit?usp=sharing"",""ระยอง!J311"")"),45)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IFERROR(__xludf.DUMMYFUNCTION("IMPORTRANGE(""https://docs.google.com/spreadsheets/d/1SX6NBoVAgQJ6U1MVXOaj8PK2l7WJ3RER9xtqwdhxkhw/edit?usp=sharing"",""ระยอง!J328"")"),0)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IFERROR(__xludf.DUMMYFUNCTION("IMPORTRANGE(""https://docs.google.com/spreadsheets/d/1SX6NBoVAgQJ6U1MVXOaj8PK2l7WJ3RER9xtqwdhxkhw/edit?usp=sharing"",""ระยอง!J329"")"),0)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IFERROR(__xludf.DUMMYFUNCTION("IMPORTRANGE(""https://docs.google.com/spreadsheets/d/1SX6NBoVAgQJ6U1MVXOaj8PK2l7WJ3RER9xtqwdhxkhw/edit?usp=sharing"",""ระยอง!M330"")"),48200)</f>
        <v>48200</v>
      </c>
      <c r="O435" s="412">
        <f t="shared" ref="O435:O439" ca="1" si="114">+IF(L435&gt;0,N435*100/L435,0)</f>
        <v>48.2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IFERROR(__xludf.DUMMYFUNCTION("IMPORTRANGE(""https://docs.google.com/spreadsheets/d/1SX6NBoVAgQJ6U1MVXOaj8PK2l7WJ3RER9xtqwdhxkhw/edit?usp=sharing"",""ระยอง!L331"")"),0)</f>
        <v>0</v>
      </c>
      <c r="M436" s="164"/>
      <c r="N436" s="169">
        <f ca="1">IFERROR(__xludf.DUMMYFUNCTION("IMPORTRANGE(""https://docs.google.com/spreadsheets/d/1SX6NBoVAgQJ6U1MVXOaj8PK2l7WJ3RER9xtqwdhxkhw/edit?usp=sharing"",""ระยอง!M331"")"),0)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IFERROR(__xludf.DUMMYFUNCTION("IMPORTRANGE(""https://docs.google.com/spreadsheets/d/1SX6NBoVAgQJ6U1MVXOaj8PK2l7WJ3RER9xtqwdhxkhw/edit?usp=sharing"",""ระยอง!L332"")"),100000)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IFERROR(__xludf.DUMMYFUNCTION("IMPORTRANGE(""https://docs.google.com/spreadsheets/d/1SX6NBoVAgQJ6U1MVXOaj8PK2l7WJ3RER9xtqwdhxkhw/edit?usp=sharing"",""ระยอง!M332"")"),48200)</f>
        <v>48200</v>
      </c>
      <c r="O437" s="169">
        <f t="shared" ca="1" si="114"/>
        <v>48.2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IFERROR(__xludf.DUMMYFUNCTION("IMPORTRANGE(""https://docs.google.com/spreadsheets/d/1SX6NBoVAgQJ6U1MVXOaj8PK2l7WJ3RER9xtqwdhxkhw/edit?usp=sharing"",""ระยอง!L333"")"),0)</f>
        <v>0</v>
      </c>
      <c r="M438" s="169"/>
      <c r="N438" s="169">
        <f ca="1">IFERROR(__xludf.DUMMYFUNCTION("IMPORTRANGE(""https://docs.google.com/spreadsheets/d/1SX6NBoVAgQJ6U1MVXOaj8PK2l7WJ3RER9xtqwdhxkhw/edit?usp=sharing"",""ระยอง!M333"")"),0)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IFERROR(__xludf.DUMMYFUNCTION("IMPORTRANGE(""https://docs.google.com/spreadsheets/d/1SX6NBoVAgQJ6U1MVXOaj8PK2l7WJ3RER9xtqwdhxkhw/edit?usp=sharing"",""ระยอง!L334"")"),100000)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IFERROR(__xludf.DUMMYFUNCTION("IMPORTRANGE(""https://docs.google.com/spreadsheets/d/1SX6NBoVAgQJ6U1MVXOaj8PK2l7WJ3RER9xtqwdhxkhw/edit?usp=sharing"",""ระยอง!M334"")"),48200)</f>
        <v>48200</v>
      </c>
      <c r="O439" s="169">
        <f t="shared" ca="1" si="114"/>
        <v>48.2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IFERROR(__xludf.DUMMYFUNCTION("IMPORTRANGE(""https://docs.google.com/spreadsheets/d/1SX6NBoVAgQJ6U1MVXOaj8PK2l7WJ3RER9xtqwdhxkhw/edit?usp=sharing"",""ระยอง!M335"")"),48200)</f>
        <v>48200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IFERROR(__xludf.DUMMYFUNCTION("IMPORTRANGE(""https://docs.google.com/spreadsheets/d/1SX6NBoVAgQJ6U1MVXOaj8PK2l7WJ3RER9xtqwdhxkhw/edit?usp=sharing"",""ระยอง!J340"")"),0)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IFERROR(__xludf.DUMMYFUNCTION("IMPORTRANGE(""https://docs.google.com/spreadsheets/d/1SX6NBoVAgQJ6U1MVXOaj8PK2l7WJ3RER9xtqwdhxkhw/edit?usp=sharing"",""ระยอง!J342"")"),1)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IFERROR(__xludf.DUMMYFUNCTION("IMPORTRANGE(""https://docs.google.com/spreadsheets/d/1SX6NBoVAgQJ6U1MVXOaj8PK2l7WJ3RER9xtqwdhxkhw/edit?usp=sharing"",""ระยอง!J343"")"),1)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1">
        <f ca="1">IFERROR(__xludf.DUMMYFUNCTION("IMPORTRANGE(""https://docs.google.com/spreadsheets/d/1SX6NBoVAgQJ6U1MVXOaj8PK2l7WJ3RER9xtqwdhxkhw/edit?usp=sharing"",""ระยอง!J344"")"),20)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IFERROR(__xludf.DUMMYFUNCTION("IMPORTRANGE(""https://docs.google.com/spreadsheets/d/1SX6NBoVAgQJ6U1MVXOaj8PK2l7WJ3RER9xtqwdhxkhw/edit?usp=sharing"",""ระยอง!I345"")"),20)</f>
        <v>20</v>
      </c>
      <c r="J450" s="189">
        <f ca="1">IFERROR(__xludf.DUMMYFUNCTION("IMPORTRANGE(""https://docs.google.com/spreadsheets/d/1SX6NBoVAgQJ6U1MVXOaj8PK2l7WJ3RER9xtqwdhxkhw/edit?usp=sharing"",""ระยอง!J345"")"),20)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IFERROR(__xludf.DUMMYFUNCTION("IMPORTRANGE(""https://docs.google.com/spreadsheets/d/1SX6NBoVAgQJ6U1MVXOaj8PK2l7WJ3RER9xtqwdhxkhw/edit?usp=sharing"",""ระยอง!I346"")"),0)</f>
        <v>0</v>
      </c>
      <c r="J451" s="188">
        <f ca="1">IFERROR(__xludf.DUMMYFUNCTION("IMPORTRANGE(""https://docs.google.com/spreadsheets/d/1SX6NBoVAgQJ6U1MVXOaj8PK2l7WJ3RER9xtqwdhxkhw/edit?usp=sharing"",""ระยอง!J346"")"),0)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IFERROR(__xludf.DUMMYFUNCTION("IMPORTRANGE(""https://docs.google.com/spreadsheets/d/1SX6NBoVAgQJ6U1MVXOaj8PK2l7WJ3RER9xtqwdhxkhw/edit?usp=sharing"",""ระยอง!I347"")"),0)</f>
        <v>0</v>
      </c>
      <c r="J452" s="188">
        <f ca="1">IFERROR(__xludf.DUMMYFUNCTION("IMPORTRANGE(""https://docs.google.com/spreadsheets/d/1SX6NBoVAgQJ6U1MVXOaj8PK2l7WJ3RER9xtqwdhxkhw/edit?usp=sharing"",""ระยอง!J347"")"),0)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IFERROR(__xludf.DUMMYFUNCTION("IMPORTRANGE(""https://docs.google.com/spreadsheets/d/1SX6NBoVAgQJ6U1MVXOaj8PK2l7WJ3RER9xtqwdhxkhw/edit?usp=sharing"",""ระยอง!J348"")"),0)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IFERROR(__xludf.DUMMYFUNCTION("IMPORTRANGE(""https://docs.google.com/spreadsheets/d/1SX6NBoVAgQJ6U1MVXOaj8PK2l7WJ3RER9xtqwdhxkhw/edit?usp=sharing"",""ระยอง!J349"")"),0)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IFERROR(__xludf.DUMMYFUNCTION("IMPORTRANGE(""https://docs.google.com/spreadsheets/d/1SX6NBoVAgQJ6U1MVXOaj8PK2l7WJ3RER9xtqwdhxkhw/edit?usp=sharing"",""ระยอง!J350"")"),7396)</f>
        <v>7396</v>
      </c>
      <c r="K455" s="372">
        <f ca="1">IF(I455&gt;0,J455*100/I455,0)</f>
        <v>100.01352265043948</v>
      </c>
      <c r="L455" s="373">
        <f ca="1">IFERROR(__xludf.DUMMYFUNCTION("IMPORTRANGE(""https://docs.google.com/spreadsheets/d/1SX6NBoVAgQJ6U1MVXOaj8PK2l7WJ3RER9xtqwdhxkhw/edit?usp=sharing"",""ระยอง!L350"")"),91719)</f>
        <v>91719</v>
      </c>
      <c r="M455" s="373"/>
      <c r="N455" s="373">
        <f ca="1">IFERROR(__xludf.DUMMYFUNCTION("IMPORTRANGE(""https://docs.google.com/spreadsheets/d/1SX6NBoVAgQJ6U1MVXOaj8PK2l7WJ3RER9xtqwdhxkhw/edit?usp=sharing"",""ระยอง!M350"")"),67268)</f>
        <v>67268</v>
      </c>
      <c r="O455" s="373">
        <f t="shared" ref="O455:O459" ca="1" si="116">+IF(L455&gt;0,N455*100/L455,0)</f>
        <v>73.341401454442376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IFERROR(__xludf.DUMMYFUNCTION("IMPORTRANGE(""https://docs.google.com/spreadsheets/d/1SX6NBoVAgQJ6U1MVXOaj8PK2l7WJ3RER9xtqwdhxkhw/edit?usp=sharing"",""ระยอง!L351"")"),0)</f>
        <v>0</v>
      </c>
      <c r="M456" s="164"/>
      <c r="N456" s="169">
        <f ca="1">IFERROR(__xludf.DUMMYFUNCTION("IMPORTRANGE(""https://docs.google.com/spreadsheets/d/1SX6NBoVAgQJ6U1MVXOaj8PK2l7WJ3RER9xtqwdhxkhw/edit?usp=sharing"",""ระยอง!M351"")"),0)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IFERROR(__xludf.DUMMYFUNCTION("IMPORTRANGE(""https://docs.google.com/spreadsheets/d/1SX6NBoVAgQJ6U1MVXOaj8PK2l7WJ3RER9xtqwdhxkhw/edit?usp=sharing"",""ระยอง!L352"")"),91719)</f>
        <v>91719</v>
      </c>
      <c r="M457" s="165"/>
      <c r="N457" s="169">
        <f ca="1">IFERROR(__xludf.DUMMYFUNCTION("IMPORTRANGE(""https://docs.google.com/spreadsheets/d/1SX6NBoVAgQJ6U1MVXOaj8PK2l7WJ3RER9xtqwdhxkhw/edit?usp=sharing"",""ระยอง!M352"")"),67268)</f>
        <v>67268</v>
      </c>
      <c r="O457" s="169">
        <f t="shared" ca="1" si="116"/>
        <v>73.341401454442376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IFERROR(__xludf.DUMMYFUNCTION("IMPORTRANGE(""https://docs.google.com/spreadsheets/d/1SX6NBoVAgQJ6U1MVXOaj8PK2l7WJ3RER9xtqwdhxkhw/edit?usp=sharing"",""ระยอง!L353"")"),0)</f>
        <v>0</v>
      </c>
      <c r="M458" s="169"/>
      <c r="N458" s="169">
        <f ca="1">IFERROR(__xludf.DUMMYFUNCTION("IMPORTRANGE(""https://docs.google.com/spreadsheets/d/1SX6NBoVAgQJ6U1MVXOaj8PK2l7WJ3RER9xtqwdhxkhw/edit?usp=sharing"",""ระยอง!M353"")"),0)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IFERROR(__xludf.DUMMYFUNCTION("IMPORTRANGE(""https://docs.google.com/spreadsheets/d/1SX6NBoVAgQJ6U1MVXOaj8PK2l7WJ3RER9xtqwdhxkhw/edit?usp=sharing"",""ระยอง!L354"")"),91719)</f>
        <v>91719</v>
      </c>
      <c r="M459" s="169"/>
      <c r="N459" s="169">
        <f ca="1">IFERROR(__xludf.DUMMYFUNCTION("IMPORTRANGE(""https://docs.google.com/spreadsheets/d/1SX6NBoVAgQJ6U1MVXOaj8PK2l7WJ3RER9xtqwdhxkhw/edit?usp=sharing"",""ระยอง!M354"")"),67268)</f>
        <v>67268</v>
      </c>
      <c r="O459" s="169">
        <f t="shared" ca="1" si="116"/>
        <v>73.341401454442376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IFERROR(__xludf.DUMMYFUNCTION("IMPORTRANGE(""https://docs.google.com/spreadsheets/d/1SX6NBoVAgQJ6U1MVXOaj8PK2l7WJ3RER9xtqwdhxkhw/edit?usp=sharing"",""ระยอง!M355"")"),0)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IFERROR(__xludf.DUMMYFUNCTION("IMPORTRANGE(""https://docs.google.com/spreadsheets/d/1SX6NBoVAgQJ6U1MVXOaj8PK2l7WJ3RER9xtqwdhxkhw/edit?usp=sharing"",""ระยอง!M356"")"),0)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IFERROR(__xludf.DUMMYFUNCTION("IMPORTRANGE(""https://docs.google.com/spreadsheets/d/1SX6NBoVAgQJ6U1MVXOaj8PK2l7WJ3RER9xtqwdhxkhw/edit?usp=sharing"",""ระยอง!M358"")"),67268)</f>
        <v>67268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IFERROR(__xludf.DUMMYFUNCTION("IMPORTRANGE(""https://docs.google.com/spreadsheets/d/1SX6NBoVAgQJ6U1MVXOaj8PK2l7WJ3RER9xtqwdhxkhw/edit?usp=sharing"",""ระยอง!I359"")"),7395)</f>
        <v>7395</v>
      </c>
      <c r="J464" s="268">
        <f ca="1">IFERROR(__xludf.DUMMYFUNCTION("IMPORTRANGE(""https://docs.google.com/spreadsheets/d/1SX6NBoVAgQJ6U1MVXOaj8PK2l7WJ3RER9xtqwdhxkhw/edit?usp=sharing"",""ระยอง!J359"")"),7396)</f>
        <v>7396</v>
      </c>
      <c r="K464" s="269">
        <f t="shared" ref="K464:K515" ca="1" si="117">IF(I464&gt;0,J464*100/I464,0)</f>
        <v>100.01352265043948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2">
        <f t="shared" ca="1" si="117"/>
        <v>100.01352265043948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IFERROR(__xludf.DUMMYFUNCTION("IMPORTRANGE(""https://docs.google.com/spreadsheets/d/1SX6NBoVAgQJ6U1MVXOaj8PK2l7WJ3RER9xtqwdhxkhw/edit?usp=sharing"",""ระยอง!I362"")"),0)</f>
        <v>0</v>
      </c>
      <c r="J467" s="189">
        <f ca="1">IFERROR(__xludf.DUMMYFUNCTION("IMPORTRANGE(""https://docs.google.com/spreadsheets/d/1SX6NBoVAgQJ6U1MVXOaj8PK2l7WJ3RER9xtqwdhxkhw/edit?usp=sharing"",""ระยอง!J362"")"),5753)</f>
        <v>5753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IFERROR(__xludf.DUMMYFUNCTION("IMPORTRANGE(""https://docs.google.com/spreadsheets/d/1SX6NBoVAgQJ6U1MVXOaj8PK2l7WJ3RER9xtqwdhxkhw/edit?usp=sharing"",""ระยอง!I363"")"),0)</f>
        <v>0</v>
      </c>
      <c r="J468" s="189">
        <f ca="1">IFERROR(__xludf.DUMMYFUNCTION("IMPORTRANGE(""https://docs.google.com/spreadsheets/d/1SX6NBoVAgQJ6U1MVXOaj8PK2l7WJ3RER9xtqwdhxkhw/edit?usp=sharing"",""ระยอง!J363"")"),528)</f>
        <v>528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IFERROR(__xludf.DUMMYFUNCTION("IMPORTRANGE(""https://docs.google.com/spreadsheets/d/1SX6NBoVAgQJ6U1MVXOaj8PK2l7WJ3RER9xtqwdhxkhw/edit?usp=sharing"",""ระยอง!I364"")"),0)</f>
        <v>0</v>
      </c>
      <c r="J469" s="189">
        <f ca="1">IFERROR(__xludf.DUMMYFUNCTION("IMPORTRANGE(""https://docs.google.com/spreadsheets/d/1SX6NBoVAgQJ6U1MVXOaj8PK2l7WJ3RER9xtqwdhxkhw/edit?usp=sharing"",""ระยอง!J364"")"),1488)</f>
        <v>1488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IFERROR(__xludf.DUMMYFUNCTION("IMPORTRANGE(""https://docs.google.com/spreadsheets/d/1SX6NBoVAgQJ6U1MVXOaj8PK2l7WJ3RER9xtqwdhxkhw/edit?usp=sharing"",""ระยอง!I365"")"),0)</f>
        <v>0</v>
      </c>
      <c r="J470" s="189">
        <f ca="1">IFERROR(__xludf.DUMMYFUNCTION("IMPORTRANGE(""https://docs.google.com/spreadsheets/d/1SX6NBoVAgQJ6U1MVXOaj8PK2l7WJ3RER9xtqwdhxkhw/edit?usp=sharing"",""ระยอง!J365"")"),103)</f>
        <v>103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IFERROR(__xludf.DUMMYFUNCTION("IMPORTRANGE(""https://docs.google.com/spreadsheets/d/1SX6NBoVAgQJ6U1MVXOaj8PK2l7WJ3RER9xtqwdhxkhw/edit?usp=sharing"",""ระยอง!I366"")"),0)</f>
        <v>0</v>
      </c>
      <c r="J471" s="189">
        <f ca="1">IFERROR(__xludf.DUMMYFUNCTION("IMPORTRANGE(""https://docs.google.com/spreadsheets/d/1SX6NBoVAgQJ6U1MVXOaj8PK2l7WJ3RER9xtqwdhxkhw/edit?usp=sharing"",""ระยอง!J366"")"),155)</f>
        <v>155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IFERROR(__xludf.DUMMYFUNCTION("IMPORTRANGE(""https://docs.google.com/spreadsheets/d/1SX6NBoVAgQJ6U1MVXOaj8PK2l7WJ3RER9xtqwdhxkhw/edit?usp=sharing"",""ระยอง!I367"")"),0)</f>
        <v>0</v>
      </c>
      <c r="J472" s="189">
        <f ca="1">IFERROR(__xludf.DUMMYFUNCTION("IMPORTRANGE(""https://docs.google.com/spreadsheets/d/1SX6NBoVAgQJ6U1MVXOaj8PK2l7WJ3RER9xtqwdhxkhw/edit?usp=sharing"",""ระยอง!J367"")"),14)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IFERROR(__xludf.DUMMYFUNCTION("IMPORTRANGE(""https://docs.google.com/spreadsheets/d/1SX6NBoVAgQJ6U1MVXOaj8PK2l7WJ3RER9xtqwdhxkhw/edit?usp=sharing"",""ระยอง!J368"")"),7396)</f>
        <v>7396</v>
      </c>
      <c r="K473" s="202">
        <f t="shared" ca="1" si="117"/>
        <v>100.01352265043948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IFERROR(__xludf.DUMMYFUNCTION("IMPORTRANGE(""https://docs.google.com/spreadsheets/d/1SX6NBoVAgQJ6U1MVXOaj8PK2l7WJ3RER9xtqwdhxkhw/edit?usp=sharing"",""ระยอง!J369"")"),645)</f>
        <v>645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IFERROR(__xludf.DUMMYFUNCTION("IMPORTRANGE(""https://docs.google.com/spreadsheets/d/1SX6NBoVAgQJ6U1MVXOaj8PK2l7WJ3RER9xtqwdhxkhw/edit?usp=sharing"",""ระยอง!I370"")"),0)</f>
        <v>0</v>
      </c>
      <c r="J475" s="189">
        <f ca="1">IFERROR(__xludf.DUMMYFUNCTION("IMPORTRANGE(""https://docs.google.com/spreadsheets/d/1SX6NBoVAgQJ6U1MVXOaj8PK2l7WJ3RER9xtqwdhxkhw/edit?usp=sharing"",""ระยอง!J370"")"),6092)</f>
        <v>6092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IFERROR(__xludf.DUMMYFUNCTION("IMPORTRANGE(""https://docs.google.com/spreadsheets/d/1SX6NBoVAgQJ6U1MVXOaj8PK2l7WJ3RER9xtqwdhxkhw/edit?usp=sharing"",""ระยอง!I371"")"),0)</f>
        <v>0</v>
      </c>
      <c r="J476" s="189">
        <f ca="1">IFERROR(__xludf.DUMMYFUNCTION("IMPORTRANGE(""https://docs.google.com/spreadsheets/d/1SX6NBoVAgQJ6U1MVXOaj8PK2l7WJ3RER9xtqwdhxkhw/edit?usp=sharing"",""ระยอง!J371"")"),551)</f>
        <v>551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IFERROR(__xludf.DUMMYFUNCTION("IMPORTRANGE(""https://docs.google.com/spreadsheets/d/1SX6NBoVAgQJ6U1MVXOaj8PK2l7WJ3RER9xtqwdhxkhw/edit?usp=sharing"",""ระยอง!I372"")"),0)</f>
        <v>0</v>
      </c>
      <c r="J477" s="189">
        <f ca="1">IFERROR(__xludf.DUMMYFUNCTION("IMPORTRANGE(""https://docs.google.com/spreadsheets/d/1SX6NBoVAgQJ6U1MVXOaj8PK2l7WJ3RER9xtqwdhxkhw/edit?usp=sharing"",""ระยอง!J372"")"),1149)</f>
        <v>1149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IFERROR(__xludf.DUMMYFUNCTION("IMPORTRANGE(""https://docs.google.com/spreadsheets/d/1SX6NBoVAgQJ6U1MVXOaj8PK2l7WJ3RER9xtqwdhxkhw/edit?usp=sharing"",""ระยอง!I373"")"),0)</f>
        <v>0</v>
      </c>
      <c r="J478" s="189">
        <f ca="1">IFERROR(__xludf.DUMMYFUNCTION("IMPORTRANGE(""https://docs.google.com/spreadsheets/d/1SX6NBoVAgQJ6U1MVXOaj8PK2l7WJ3RER9xtqwdhxkhw/edit?usp=sharing"",""ระยอง!J373"")"),80)</f>
        <v>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IFERROR(__xludf.DUMMYFUNCTION("IMPORTRANGE(""https://docs.google.com/spreadsheets/d/1SX6NBoVAgQJ6U1MVXOaj8PK2l7WJ3RER9xtqwdhxkhw/edit?usp=sharing"",""ระยอง!I374"")"),0)</f>
        <v>0</v>
      </c>
      <c r="J479" s="189">
        <f ca="1">IFERROR(__xludf.DUMMYFUNCTION("IMPORTRANGE(""https://docs.google.com/spreadsheets/d/1SX6NBoVAgQJ6U1MVXOaj8PK2l7WJ3RER9xtqwdhxkhw/edit?usp=sharing"",""ระยอง!J374"")"),155)</f>
        <v>155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IFERROR(__xludf.DUMMYFUNCTION("IMPORTRANGE(""https://docs.google.com/spreadsheets/d/1SX6NBoVAgQJ6U1MVXOaj8PK2l7WJ3RER9xtqwdhxkhw/edit?usp=sharing"",""ระยอง!I375"")"),0)</f>
        <v>0</v>
      </c>
      <c r="J480" s="189">
        <f ca="1">IFERROR(__xludf.DUMMYFUNCTION("IMPORTRANGE(""https://docs.google.com/spreadsheets/d/1SX6NBoVAgQJ6U1MVXOaj8PK2l7WJ3RER9xtqwdhxkhw/edit?usp=sharing"",""ระยอง!J375"")"),14)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IFERROR(__xludf.DUMMYFUNCTION("IMPORTRANGE(""https://docs.google.com/spreadsheets/d/1SX6NBoVAgQJ6U1MVXOaj8PK2l7WJ3RER9xtqwdhxkhw/edit?usp=sharing"",""ระยอง!J376"")"),7396)</f>
        <v>7396</v>
      </c>
      <c r="K481" s="202">
        <f t="shared" ca="1" si="117"/>
        <v>100.01352265043948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IFERROR(__xludf.DUMMYFUNCTION("IMPORTRANGE(""https://docs.google.com/spreadsheets/d/1SX6NBoVAgQJ6U1MVXOaj8PK2l7WJ3RER9xtqwdhxkhw/edit?usp=sharing"",""ระยอง!J377"")"),645)</f>
        <v>645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IFERROR(__xludf.DUMMYFUNCTION("IMPORTRANGE(""https://docs.google.com/spreadsheets/d/1SX6NBoVAgQJ6U1MVXOaj8PK2l7WJ3RER9xtqwdhxkhw/edit?usp=sharing"",""ระยอง!I378"")"),0)</f>
        <v>0</v>
      </c>
      <c r="J483" s="189">
        <f ca="1">IFERROR(__xludf.DUMMYFUNCTION("IMPORTRANGE(""https://docs.google.com/spreadsheets/d/1SX6NBoVAgQJ6U1MVXOaj8PK2l7WJ3RER9xtqwdhxkhw/edit?usp=sharing"",""ระยอง!J378"")"),6092)</f>
        <v>6092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IFERROR(__xludf.DUMMYFUNCTION("IMPORTRANGE(""https://docs.google.com/spreadsheets/d/1SX6NBoVAgQJ6U1MVXOaj8PK2l7WJ3RER9xtqwdhxkhw/edit?usp=sharing"",""ระยอง!I379"")"),0)</f>
        <v>0</v>
      </c>
      <c r="J484" s="189">
        <f ca="1">IFERROR(__xludf.DUMMYFUNCTION("IMPORTRANGE(""https://docs.google.com/spreadsheets/d/1SX6NBoVAgQJ6U1MVXOaj8PK2l7WJ3RER9xtqwdhxkhw/edit?usp=sharing"",""ระยอง!J379"")"),551)</f>
        <v>551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IFERROR(__xludf.DUMMYFUNCTION("IMPORTRANGE(""https://docs.google.com/spreadsheets/d/1SX6NBoVAgQJ6U1MVXOaj8PK2l7WJ3RER9xtqwdhxkhw/edit?usp=sharing"",""ระยอง!I380"")"),0)</f>
        <v>0</v>
      </c>
      <c r="J485" s="189">
        <f ca="1">IFERROR(__xludf.DUMMYFUNCTION("IMPORTRANGE(""https://docs.google.com/spreadsheets/d/1SX6NBoVAgQJ6U1MVXOaj8PK2l7WJ3RER9xtqwdhxkhw/edit?usp=sharing"",""ระยอง!J380"")"),1149)</f>
        <v>1149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IFERROR(__xludf.DUMMYFUNCTION("IMPORTRANGE(""https://docs.google.com/spreadsheets/d/1SX6NBoVAgQJ6U1MVXOaj8PK2l7WJ3RER9xtqwdhxkhw/edit?usp=sharing"",""ระยอง!I381"")"),0)</f>
        <v>0</v>
      </c>
      <c r="J486" s="189">
        <f ca="1">IFERROR(__xludf.DUMMYFUNCTION("IMPORTRANGE(""https://docs.google.com/spreadsheets/d/1SX6NBoVAgQJ6U1MVXOaj8PK2l7WJ3RER9xtqwdhxkhw/edit?usp=sharing"",""ระยอง!J381"")"),80)</f>
        <v>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IFERROR(__xludf.DUMMYFUNCTION("IMPORTRANGE(""https://docs.google.com/spreadsheets/d/1SX6NBoVAgQJ6U1MVXOaj8PK2l7WJ3RER9xtqwdhxkhw/edit?usp=sharing"",""ระยอง!J382"")"),155)</f>
        <v>155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IFERROR(__xludf.DUMMYFUNCTION("IMPORTRANGE(""https://docs.google.com/spreadsheets/d/1SX6NBoVAgQJ6U1MVXOaj8PK2l7WJ3RER9xtqwdhxkhw/edit?usp=sharing"",""ระยอง!J383"")"),14)</f>
        <v>14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IFERROR(__xludf.DUMMYFUNCTION("IMPORTRANGE(""https://docs.google.com/spreadsheets/d/1SX6NBoVAgQJ6U1MVXOaj8PK2l7WJ3RER9xtqwdhxkhw/edit?usp=sharing"",""ระยอง!I384"")"),0)</f>
        <v>0</v>
      </c>
      <c r="J489" s="189">
        <f ca="1">IFERROR(__xludf.DUMMYFUNCTION("IMPORTRANGE(""https://docs.google.com/spreadsheets/d/1SX6NBoVAgQJ6U1MVXOaj8PK2l7WJ3RER9xtqwdhxkhw/edit?usp=sharing"",""ระยอง!J384"")"),155)</f>
        <v>155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IFERROR(__xludf.DUMMYFUNCTION("IMPORTRANGE(""https://docs.google.com/spreadsheets/d/1SX6NBoVAgQJ6U1MVXOaj8PK2l7WJ3RER9xtqwdhxkhw/edit?usp=sharing"",""ระยอง!I385"")"),0)</f>
        <v>0</v>
      </c>
      <c r="J490" s="189">
        <f ca="1">IFERROR(__xludf.DUMMYFUNCTION("IMPORTRANGE(""https://docs.google.com/spreadsheets/d/1SX6NBoVAgQJ6U1MVXOaj8PK2l7WJ3RER9xtqwdhxkhw/edit?usp=sharing"",""ระยอง!J385"")"),14)</f>
        <v>14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IFERROR(__xludf.DUMMYFUNCTION("IMPORTRANGE(""https://docs.google.com/spreadsheets/d/1SX6NBoVAgQJ6U1MVXOaj8PK2l7WJ3RER9xtqwdhxkhw/edit?usp=sharing"",""ระยอง!I386"")"),0)</f>
        <v>0</v>
      </c>
      <c r="J491" s="189">
        <f ca="1">IFERROR(__xludf.DUMMYFUNCTION("IMPORTRANGE(""https://docs.google.com/spreadsheets/d/1SX6NBoVAgQJ6U1MVXOaj8PK2l7WJ3RER9xtqwdhxkhw/edit?usp=sharing"",""ระยอง!J386"")"),0)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IFERROR(__xludf.DUMMYFUNCTION("IMPORTRANGE(""https://docs.google.com/spreadsheets/d/1SX6NBoVAgQJ6U1MVXOaj8PK2l7WJ3RER9xtqwdhxkhw/edit?usp=sharing"",""ระยอง!I387"")"),0)</f>
        <v>0</v>
      </c>
      <c r="J492" s="189">
        <f ca="1">IFERROR(__xludf.DUMMYFUNCTION("IMPORTRANGE(""https://docs.google.com/spreadsheets/d/1SX6NBoVAgQJ6U1MVXOaj8PK2l7WJ3RER9xtqwdhxkhw/edit?usp=sharing"",""ระยอง!J387"")"),0)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IFERROR(__xludf.DUMMYFUNCTION("IMPORTRANGE(""https://docs.google.com/spreadsheets/d/1SX6NBoVAgQJ6U1MVXOaj8PK2l7WJ3RER9xtqwdhxkhw/edit?usp=sharing"",""ระยอง!I388"")"),0)</f>
        <v>0</v>
      </c>
      <c r="J493" s="189">
        <f ca="1">IFERROR(__xludf.DUMMYFUNCTION("IMPORTRANGE(""https://docs.google.com/spreadsheets/d/1SX6NBoVAgQJ6U1MVXOaj8PK2l7WJ3RER9xtqwdhxkhw/edit?usp=sharing"",""ระยอง!J388"")"),0)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IFERROR(__xludf.DUMMYFUNCTION("IMPORTRANGE(""https://docs.google.com/spreadsheets/d/1SX6NBoVAgQJ6U1MVXOaj8PK2l7WJ3RER9xtqwdhxkhw/edit?usp=sharing"",""ระยอง!I395"")"),0)</f>
        <v>0</v>
      </c>
      <c r="J500" s="162">
        <f ca="1">IFERROR(__xludf.DUMMYFUNCTION("IMPORTRANGE(""https://docs.google.com/spreadsheets/d/1SX6NBoVAgQJ6U1MVXOaj8PK2l7WJ3RER9xtqwdhxkhw/edit?usp=sharing"",""ระยอง!J395"")"),0)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IFERROR(__xludf.DUMMYFUNCTION("IMPORTRANGE(""https://docs.google.com/spreadsheets/d/1SX6NBoVAgQJ6U1MVXOaj8PK2l7WJ3RER9xtqwdhxkhw/edit?usp=sharing"",""ระยอง!I396"")"),0)</f>
        <v>0</v>
      </c>
      <c r="J501" s="162">
        <f ca="1">IFERROR(__xludf.DUMMYFUNCTION("IMPORTRANGE(""https://docs.google.com/spreadsheets/d/1SX6NBoVAgQJ6U1MVXOaj8PK2l7WJ3RER9xtqwdhxkhw/edit?usp=sharing"",""ระยอง!J396"")"),0)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IFERROR(__xludf.DUMMYFUNCTION("IMPORTRANGE(""https://docs.google.com/spreadsheets/d/1SX6NBoVAgQJ6U1MVXOaj8PK2l7WJ3RER9xtqwdhxkhw/edit?usp=sharing"",""ระยอง!I397"")"),0)</f>
        <v>0</v>
      </c>
      <c r="J502" s="189">
        <f ca="1">IFERROR(__xludf.DUMMYFUNCTION("IMPORTRANGE(""https://docs.google.com/spreadsheets/d/1SX6NBoVAgQJ6U1MVXOaj8PK2l7WJ3RER9xtqwdhxkhw/edit?usp=sharing"",""ระยอง!J397"")"),0)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IFERROR(__xludf.DUMMYFUNCTION("IMPORTRANGE(""https://docs.google.com/spreadsheets/d/1SX6NBoVAgQJ6U1MVXOaj8PK2l7WJ3RER9xtqwdhxkhw/edit?usp=sharing"",""ระยอง!I398"")"),0)</f>
        <v>0</v>
      </c>
      <c r="J503" s="198">
        <f ca="1">IFERROR(__xludf.DUMMYFUNCTION("IMPORTRANGE(""https://docs.google.com/spreadsheets/d/1SX6NBoVAgQJ6U1MVXOaj8PK2l7WJ3RER9xtqwdhxkhw/edit?usp=sharing"",""ระยอง!J398"")"),0)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IFERROR(__xludf.DUMMYFUNCTION("IMPORTRANGE(""https://docs.google.com/spreadsheets/d/1SX6NBoVAgQJ6U1MVXOaj8PK2l7WJ3RER9xtqwdhxkhw/edit?usp=sharing"",""ระยอง!I399"")"),0)</f>
        <v>0</v>
      </c>
      <c r="J504" s="189">
        <f ca="1">IFERROR(__xludf.DUMMYFUNCTION("IMPORTRANGE(""https://docs.google.com/spreadsheets/d/1SX6NBoVAgQJ6U1MVXOaj8PK2l7WJ3RER9xtqwdhxkhw/edit?usp=sharing"",""ระยอง!J399"")"),0)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IFERROR(__xludf.DUMMYFUNCTION("IMPORTRANGE(""https://docs.google.com/spreadsheets/d/1SX6NBoVAgQJ6U1MVXOaj8PK2l7WJ3RER9xtqwdhxkhw/edit?usp=sharing"",""ระยอง!I400"")"),0)</f>
        <v>0</v>
      </c>
      <c r="J505" s="198">
        <f ca="1">IFERROR(__xludf.DUMMYFUNCTION("IMPORTRANGE(""https://docs.google.com/spreadsheets/d/1SX6NBoVAgQJ6U1MVXOaj8PK2l7WJ3RER9xtqwdhxkhw/edit?usp=sharing"",""ระยอง!J400"")"),0)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IFERROR(__xludf.DUMMYFUNCTION("IMPORTRANGE(""https://docs.google.com/spreadsheets/d/1SX6NBoVAgQJ6U1MVXOaj8PK2l7WJ3RER9xtqwdhxkhw/edit?usp=sharing"",""ระยอง!I401"")"),0)</f>
        <v>0</v>
      </c>
      <c r="J506" s="189">
        <f ca="1">IFERROR(__xludf.DUMMYFUNCTION("IMPORTRANGE(""https://docs.google.com/spreadsheets/d/1SX6NBoVAgQJ6U1MVXOaj8PK2l7WJ3RER9xtqwdhxkhw/edit?usp=sharing"",""ระยอง!J401"")"),0)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IFERROR(__xludf.DUMMYFUNCTION("IMPORTRANGE(""https://docs.google.com/spreadsheets/d/1SX6NBoVAgQJ6U1MVXOaj8PK2l7WJ3RER9xtqwdhxkhw/edit?usp=sharing"",""ระยอง!I402"")"),0)</f>
        <v>0</v>
      </c>
      <c r="J507" s="198">
        <f ca="1">IFERROR(__xludf.DUMMYFUNCTION("IMPORTRANGE(""https://docs.google.com/spreadsheets/d/1SX6NBoVAgQJ6U1MVXOaj8PK2l7WJ3RER9xtqwdhxkhw/edit?usp=sharing"",""ระยอง!J402"")"),0)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IFERROR(__xludf.DUMMYFUNCTION("IMPORTRANGE(""https://docs.google.com/spreadsheets/d/1SX6NBoVAgQJ6U1MVXOaj8PK2l7WJ3RER9xtqwdhxkhw/edit?usp=sharing"",""ระยอง!I403"")"),0)</f>
        <v>0</v>
      </c>
      <c r="J508" s="162">
        <f ca="1">IFERROR(__xludf.DUMMYFUNCTION("IMPORTRANGE(""https://docs.google.com/spreadsheets/d/1SX6NBoVAgQJ6U1MVXOaj8PK2l7WJ3RER9xtqwdhxkhw/edit?usp=sharing"",""ระยอง!J403"")"),0)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IFERROR(__xludf.DUMMYFUNCTION("IMPORTRANGE(""https://docs.google.com/spreadsheets/d/1SX6NBoVAgQJ6U1MVXOaj8PK2l7WJ3RER9xtqwdhxkhw/edit?usp=sharing"",""ระยอง!I404"")"),0)</f>
        <v>0</v>
      </c>
      <c r="J509" s="162">
        <f ca="1">IFERROR(__xludf.DUMMYFUNCTION("IMPORTRANGE(""https://docs.google.com/spreadsheets/d/1SX6NBoVAgQJ6U1MVXOaj8PK2l7WJ3RER9xtqwdhxkhw/edit?usp=sharing"",""ระยอง!J404"")"),0)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IFERROR(__xludf.DUMMYFUNCTION("IMPORTRANGE(""https://docs.google.com/spreadsheets/d/1SX6NBoVAgQJ6U1MVXOaj8PK2l7WJ3RER9xtqwdhxkhw/edit?usp=sharing"",""ระยอง!I405"")"),0)</f>
        <v>0</v>
      </c>
      <c r="J510" s="198">
        <f ca="1">IFERROR(__xludf.DUMMYFUNCTION("IMPORTRANGE(""https://docs.google.com/spreadsheets/d/1SX6NBoVAgQJ6U1MVXOaj8PK2l7WJ3RER9xtqwdhxkhw/edit?usp=sharing"",""ระยอง!J405"")"),0)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IFERROR(__xludf.DUMMYFUNCTION("IMPORTRANGE(""https://docs.google.com/spreadsheets/d/1SX6NBoVAgQJ6U1MVXOaj8PK2l7WJ3RER9xtqwdhxkhw/edit?usp=sharing"",""ระยอง!I406"")"),0)</f>
        <v>0</v>
      </c>
      <c r="J511" s="198">
        <f ca="1">IFERROR(__xludf.DUMMYFUNCTION("IMPORTRANGE(""https://docs.google.com/spreadsheets/d/1SX6NBoVAgQJ6U1MVXOaj8PK2l7WJ3RER9xtqwdhxkhw/edit?usp=sharing"",""ระยอง!J406"")"),0)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IFERROR(__xludf.DUMMYFUNCTION("IMPORTRANGE(""https://docs.google.com/spreadsheets/d/1SX6NBoVAgQJ6U1MVXOaj8PK2l7WJ3RER9xtqwdhxkhw/edit?usp=sharing"",""ระยอง!I407"")"),0)</f>
        <v>0</v>
      </c>
      <c r="J512" s="198">
        <f ca="1">IFERROR(__xludf.DUMMYFUNCTION("IMPORTRANGE(""https://docs.google.com/spreadsheets/d/1SX6NBoVAgQJ6U1MVXOaj8PK2l7WJ3RER9xtqwdhxkhw/edit?usp=sharing"",""ระยอง!J407"")"),0)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IFERROR(__xludf.DUMMYFUNCTION("IMPORTRANGE(""https://docs.google.com/spreadsheets/d/1SX6NBoVAgQJ6U1MVXOaj8PK2l7WJ3RER9xtqwdhxkhw/edit?usp=sharing"",""ระยอง!I408"")"),0)</f>
        <v>0</v>
      </c>
      <c r="J513" s="198">
        <f ca="1">IFERROR(__xludf.DUMMYFUNCTION("IMPORTRANGE(""https://docs.google.com/spreadsheets/d/1SX6NBoVAgQJ6U1MVXOaj8PK2l7WJ3RER9xtqwdhxkhw/edit?usp=sharing"",""ระยอง!J408"")"),0)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IFERROR(__xludf.DUMMYFUNCTION("IMPORTRANGE(""https://docs.google.com/spreadsheets/d/1SX6NBoVAgQJ6U1MVXOaj8PK2l7WJ3RER9xtqwdhxkhw/edit?usp=sharing"",""ระยอง!I409"")"),0)</f>
        <v>0</v>
      </c>
      <c r="J514" s="198">
        <f ca="1">IFERROR(__xludf.DUMMYFUNCTION("IMPORTRANGE(""https://docs.google.com/spreadsheets/d/1SX6NBoVAgQJ6U1MVXOaj8PK2l7WJ3RER9xtqwdhxkhw/edit?usp=sharing"",""ระยอง!J409"")"),0)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IFERROR(__xludf.DUMMYFUNCTION("IMPORTRANGE(""https://docs.google.com/spreadsheets/d/1SX6NBoVAgQJ6U1MVXOaj8PK2l7WJ3RER9xtqwdhxkhw/edit?usp=sharing"",""ระยอง!I410"")"),0)</f>
        <v>0</v>
      </c>
      <c r="J515" s="198">
        <f ca="1">IFERROR(__xludf.DUMMYFUNCTION("IMPORTRANGE(""https://docs.google.com/spreadsheets/d/1SX6NBoVAgQJ6U1MVXOaj8PK2l7WJ3RER9xtqwdhxkhw/edit?usp=sharing"",""ระยอง!J410"")"),0)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IFERROR(__xludf.DUMMYFUNCTION("IMPORTRANGE(""https://docs.google.com/spreadsheets/d/1SX6NBoVAgQJ6U1MVXOaj8PK2l7WJ3RER9xtqwdhxkhw/edit?usp=sharing"",""ระยอง!I411"")"),0)</f>
        <v>0</v>
      </c>
      <c r="J516" s="268">
        <f ca="1">IFERROR(__xludf.DUMMYFUNCTION("IMPORTRANGE(""https://docs.google.com/spreadsheets/d/1SX6NBoVAgQJ6U1MVXOaj8PK2l7WJ3RER9xtqwdhxkhw/edit?usp=sharing"",""ระยอง!J411"")"),0)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IFERROR(__xludf.DUMMYFUNCTION("IMPORTRANGE(""https://docs.google.com/spreadsheets/d/1SX6NBoVAgQJ6U1MVXOaj8PK2l7WJ3RER9xtqwdhxkhw/edit?usp=sharing"",""ระยอง!I412"")"),0)</f>
        <v>0</v>
      </c>
      <c r="J517" s="285">
        <f ca="1">IFERROR(__xludf.DUMMYFUNCTION("IMPORTRANGE(""https://docs.google.com/spreadsheets/d/1SX6NBoVAgQJ6U1MVXOaj8PK2l7WJ3RER9xtqwdhxkhw/edit?usp=sharing"",""ระยอง!J412"")"),0)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IFERROR(__xludf.DUMMYFUNCTION("IMPORTRANGE(""https://docs.google.com/spreadsheets/d/1SX6NBoVAgQJ6U1MVXOaj8PK2l7WJ3RER9xtqwdhxkhw/edit?usp=sharing"",""ระยอง!I413"")"),0)</f>
        <v>0</v>
      </c>
      <c r="J518" s="285">
        <f ca="1">IFERROR(__xludf.DUMMYFUNCTION("IMPORTRANGE(""https://docs.google.com/spreadsheets/d/1SX6NBoVAgQJ6U1MVXOaj8PK2l7WJ3RER9xtqwdhxkhw/edit?usp=sharing"",""ระยอง!J413"")"),0)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IFERROR(__xludf.DUMMYFUNCTION("IMPORTRANGE(""https://docs.google.com/spreadsheets/d/1SX6NBoVAgQJ6U1MVXOaj8PK2l7WJ3RER9xtqwdhxkhw/edit?usp=sharing"",""ระยอง!I414"")"),0)</f>
        <v>0</v>
      </c>
      <c r="J519" s="188">
        <f ca="1">IFERROR(__xludf.DUMMYFUNCTION("IMPORTRANGE(""https://docs.google.com/spreadsheets/d/1SX6NBoVAgQJ6U1MVXOaj8PK2l7WJ3RER9xtqwdhxkhw/edit?usp=sharing"",""ระยอง!J414"")"),0)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IFERROR(__xludf.DUMMYFUNCTION("IMPORTRANGE(""https://docs.google.com/spreadsheets/d/1SX6NBoVAgQJ6U1MVXOaj8PK2l7WJ3RER9xtqwdhxkhw/edit?usp=sharing"",""ระยอง!I415"")"),0)</f>
        <v>0</v>
      </c>
      <c r="J520" s="188">
        <f ca="1">IFERROR(__xludf.DUMMYFUNCTION("IMPORTRANGE(""https://docs.google.com/spreadsheets/d/1SX6NBoVAgQJ6U1MVXOaj8PK2l7WJ3RER9xtqwdhxkhw/edit?usp=sharing"",""ระยอง!J415"")"),0)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IFERROR(__xludf.DUMMYFUNCTION("IMPORTRANGE(""https://docs.google.com/spreadsheets/d/1SX6NBoVAgQJ6U1MVXOaj8PK2l7WJ3RER9xtqwdhxkhw/edit?usp=sharing"",""ระยอง!I416"")"),0)</f>
        <v>0</v>
      </c>
      <c r="J521" s="188">
        <f ca="1">IFERROR(__xludf.DUMMYFUNCTION("IMPORTRANGE(""https://docs.google.com/spreadsheets/d/1SX6NBoVAgQJ6U1MVXOaj8PK2l7WJ3RER9xtqwdhxkhw/edit?usp=sharing"",""ระยอง!J416"")"),0)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IFERROR(__xludf.DUMMYFUNCTION("IMPORTRANGE(""https://docs.google.com/spreadsheets/d/1SX6NBoVAgQJ6U1MVXOaj8PK2l7WJ3RER9xtqwdhxkhw/edit?usp=sharing"",""ระยอง!I417"")"),0)</f>
        <v>0</v>
      </c>
      <c r="J522" s="188">
        <f ca="1">IFERROR(__xludf.DUMMYFUNCTION("IMPORTRANGE(""https://docs.google.com/spreadsheets/d/1SX6NBoVAgQJ6U1MVXOaj8PK2l7WJ3RER9xtqwdhxkhw/edit?usp=sharing"",""ระยอง!J417"")"),0)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IFERROR(__xludf.DUMMYFUNCTION("IMPORTRANGE(""https://docs.google.com/spreadsheets/d/1SX6NBoVAgQJ6U1MVXOaj8PK2l7WJ3RER9xtqwdhxkhw/edit?usp=sharing"",""ระยอง!I418"")"),0)</f>
        <v>0</v>
      </c>
      <c r="J523" s="188">
        <f ca="1">IFERROR(__xludf.DUMMYFUNCTION("IMPORTRANGE(""https://docs.google.com/spreadsheets/d/1SX6NBoVAgQJ6U1MVXOaj8PK2l7WJ3RER9xtqwdhxkhw/edit?usp=sharing"",""ระยอง!J418"")"),561)</f>
        <v>561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IFERROR(__xludf.DUMMYFUNCTION("IMPORTRANGE(""https://docs.google.com/spreadsheets/d/1SX6NBoVAgQJ6U1MVXOaj8PK2l7WJ3RER9xtqwdhxkhw/edit?usp=sharing"",""ระยอง!I419"")"),0)</f>
        <v>0</v>
      </c>
      <c r="J524" s="188">
        <f ca="1">IFERROR(__xludf.DUMMYFUNCTION("IMPORTRANGE(""https://docs.google.com/spreadsheets/d/1SX6NBoVAgQJ6U1MVXOaj8PK2l7WJ3RER9xtqwdhxkhw/edit?usp=sharing"",""ระยอง!J419"")"),18)</f>
        <v>18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IFERROR(__xludf.DUMMYFUNCTION("IMPORTRANGE(""https://docs.google.com/spreadsheets/d/1SX6NBoVAgQJ6U1MVXOaj8PK2l7WJ3RER9xtqwdhxkhw/edit?usp=sharing"",""ระยอง!I420"")"),561)</f>
        <v>561</v>
      </c>
      <c r="J525" s="285">
        <f ca="1">IFERROR(__xludf.DUMMYFUNCTION("IMPORTRANGE(""https://docs.google.com/spreadsheets/d/1SX6NBoVAgQJ6U1MVXOaj8PK2l7WJ3RER9xtqwdhxkhw/edit?usp=sharing"",""ระยอง!J420"")"),0)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IFERROR(__xludf.DUMMYFUNCTION("IMPORTRANGE(""https://docs.google.com/spreadsheets/d/1SX6NBoVAgQJ6U1MVXOaj8PK2l7WJ3RER9xtqwdhxkhw/edit?usp=sharing"",""ระยอง!I421"")"),18)</f>
        <v>18</v>
      </c>
      <c r="J526" s="285">
        <f ca="1">IFERROR(__xludf.DUMMYFUNCTION("IMPORTRANGE(""https://docs.google.com/spreadsheets/d/1SX6NBoVAgQJ6U1MVXOaj8PK2l7WJ3RER9xtqwdhxkhw/edit?usp=sharing"",""ระยอง!J421"")"),0)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IFERROR(__xludf.DUMMYFUNCTION("IMPORTRANGE(""https://docs.google.com/spreadsheets/d/1SX6NBoVAgQJ6U1MVXOaj8PK2l7WJ3RER9xtqwdhxkhw/edit?usp=sharing"",""ระยอง!I422"")"),0)</f>
        <v>0</v>
      </c>
      <c r="J527" s="198">
        <f ca="1">IFERROR(__xludf.DUMMYFUNCTION("IMPORTRANGE(""https://docs.google.com/spreadsheets/d/1SX6NBoVAgQJ6U1MVXOaj8PK2l7WJ3RER9xtqwdhxkhw/edit?usp=sharing"",""ระยอง!J422"")"),0)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IFERROR(__xludf.DUMMYFUNCTION("IMPORTRANGE(""https://docs.google.com/spreadsheets/d/1SX6NBoVAgQJ6U1MVXOaj8PK2l7WJ3RER9xtqwdhxkhw/edit?usp=sharing"",""ระยอง!I423"")"),0)</f>
        <v>0</v>
      </c>
      <c r="J528" s="198">
        <f ca="1">IFERROR(__xludf.DUMMYFUNCTION("IMPORTRANGE(""https://docs.google.com/spreadsheets/d/1SX6NBoVAgQJ6U1MVXOaj8PK2l7WJ3RER9xtqwdhxkhw/edit?usp=sharing"",""ระยอง!J423"")"),0)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IFERROR(__xludf.DUMMYFUNCTION("IMPORTRANGE(""https://docs.google.com/spreadsheets/d/1SX6NBoVAgQJ6U1MVXOaj8PK2l7WJ3RER9xtqwdhxkhw/edit?usp=sharing"",""ระยอง!I424"")"),0)</f>
        <v>0</v>
      </c>
      <c r="J529" s="198">
        <f ca="1">IFERROR(__xludf.DUMMYFUNCTION("IMPORTRANGE(""https://docs.google.com/spreadsheets/d/1SX6NBoVAgQJ6U1MVXOaj8PK2l7WJ3RER9xtqwdhxkhw/edit?usp=sharing"",""ระยอง!J424"")"),0)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IFERROR(__xludf.DUMMYFUNCTION("IMPORTRANGE(""https://docs.google.com/spreadsheets/d/1SX6NBoVAgQJ6U1MVXOaj8PK2l7WJ3RER9xtqwdhxkhw/edit?usp=sharing"",""ระยอง!I425"")"),0)</f>
        <v>0</v>
      </c>
      <c r="J530" s="198">
        <f ca="1">IFERROR(__xludf.DUMMYFUNCTION("IMPORTRANGE(""https://docs.google.com/spreadsheets/d/1SX6NBoVAgQJ6U1MVXOaj8PK2l7WJ3RER9xtqwdhxkhw/edit?usp=sharing"",""ระยอง!J425"")"),0)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IFERROR(__xludf.DUMMYFUNCTION("IMPORTRANGE(""https://docs.google.com/spreadsheets/d/1SX6NBoVAgQJ6U1MVXOaj8PK2l7WJ3RER9xtqwdhxkhw/edit?usp=sharing"",""ระยอง!I426"")"),0)</f>
        <v>0</v>
      </c>
      <c r="J531" s="198">
        <f ca="1">IFERROR(__xludf.DUMMYFUNCTION("IMPORTRANGE(""https://docs.google.com/spreadsheets/d/1SX6NBoVAgQJ6U1MVXOaj8PK2l7WJ3RER9xtqwdhxkhw/edit?usp=sharing"",""ระยอง!J426"")"),0)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IFERROR(__xludf.DUMMYFUNCTION("IMPORTRANGE(""https://docs.google.com/spreadsheets/d/1SX6NBoVAgQJ6U1MVXOaj8PK2l7WJ3RER9xtqwdhxkhw/edit?usp=sharing"",""ระยอง!M428"")"),29070)</f>
        <v>29070</v>
      </c>
      <c r="O533" s="412">
        <f t="shared" ref="O533:O537" ca="1" si="118">+IF(L533&gt;0,N533*100/L533,0)</f>
        <v>84.653465346534659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IFERROR(__xludf.DUMMYFUNCTION("IMPORTRANGE(""https://docs.google.com/spreadsheets/d/1SX6NBoVAgQJ6U1MVXOaj8PK2l7WJ3RER9xtqwdhxkhw/edit?usp=sharing"",""ระยอง!L429"")"),0)</f>
        <v>0</v>
      </c>
      <c r="M534" s="164"/>
      <c r="N534" s="169">
        <f ca="1">IFERROR(__xludf.DUMMYFUNCTION("IMPORTRANGE(""https://docs.google.com/spreadsheets/d/1SX6NBoVAgQJ6U1MVXOaj8PK2l7WJ3RER9xtqwdhxkhw/edit?usp=sharing"",""ระยอง!M429"")"),0)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IFERROR(__xludf.DUMMYFUNCTION("IMPORTRANGE(""https://docs.google.com/spreadsheets/d/1SX6NBoVAgQJ6U1MVXOaj8PK2l7WJ3RER9xtqwdhxkhw/edit?usp=sharing"",""ระยอง!L430"")"),34340)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IFERROR(__xludf.DUMMYFUNCTION("IMPORTRANGE(""https://docs.google.com/spreadsheets/d/1SX6NBoVAgQJ6U1MVXOaj8PK2l7WJ3RER9xtqwdhxkhw/edit?usp=sharing"",""ระยอง!M430"")"),29070)</f>
        <v>29070</v>
      </c>
      <c r="O535" s="169">
        <f t="shared" ca="1" si="118"/>
        <v>84.653465346534659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IFERROR(__xludf.DUMMYFUNCTION("IMPORTRANGE(""https://docs.google.com/spreadsheets/d/1SX6NBoVAgQJ6U1MVXOaj8PK2l7WJ3RER9xtqwdhxkhw/edit?usp=sharing"",""ระยอง!L431"")"),0)</f>
        <v>0</v>
      </c>
      <c r="M536" s="169"/>
      <c r="N536" s="169">
        <f ca="1">IFERROR(__xludf.DUMMYFUNCTION("IMPORTRANGE(""https://docs.google.com/spreadsheets/d/1SX6NBoVAgQJ6U1MVXOaj8PK2l7WJ3RER9xtqwdhxkhw/edit?usp=sharing"",""ระยอง!M431"")"),0)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IFERROR(__xludf.DUMMYFUNCTION("IMPORTRANGE(""https://docs.google.com/spreadsheets/d/1SX6NBoVAgQJ6U1MVXOaj8PK2l7WJ3RER9xtqwdhxkhw/edit?usp=sharing"",""ระยอง!L432"")"),34340)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IFERROR(__xludf.DUMMYFUNCTION("IMPORTRANGE(""https://docs.google.com/spreadsheets/d/1SX6NBoVAgQJ6U1MVXOaj8PK2l7WJ3RER9xtqwdhxkhw/edit?usp=sharing"",""ระยอง!M432"")"),29070)</f>
        <v>29070</v>
      </c>
      <c r="O537" s="169">
        <f t="shared" ca="1" si="118"/>
        <v>84.653465346534659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IFERROR(__xludf.DUMMYFUNCTION("IMPORTRANGE(""https://docs.google.com/spreadsheets/d/1SX6NBoVAgQJ6U1MVXOaj8PK2l7WJ3RER9xtqwdhxkhw/edit?usp=sharing"",""ระยอง!M433"")"),21840)</f>
        <v>21840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IFERROR(__xludf.DUMMYFUNCTION("IMPORTRANGE(""https://docs.google.com/spreadsheets/d/1SX6NBoVAgQJ6U1MVXOaj8PK2l7WJ3RER9xtqwdhxkhw/edit?usp=sharing"",""ระยอง!M436"")"),7230)</f>
        <v>7230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IFERROR(__xludf.DUMMYFUNCTION("IMPORTRANGE(""https://docs.google.com/spreadsheets/d/1SX6NBoVAgQJ6U1MVXOaj8PK2l7WJ3RER9xtqwdhxkhw/edit?usp=sharing"",""ระยอง!J438"")"),0)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IFERROR(__xludf.DUMMYFUNCTION("IMPORTRANGE(""https://docs.google.com/spreadsheets/d/1SX6NBoVAgQJ6U1MVXOaj8PK2l7WJ3RER9xtqwdhxkhw/edit?usp=sharing"",""ระยอง!J439"")"),1)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IFERROR(__xludf.DUMMYFUNCTION("IMPORTRANGE(""https://docs.google.com/spreadsheets/d/1SX6NBoVAgQJ6U1MVXOaj8PK2l7WJ3RER9xtqwdhxkhw/edit?usp=sharing"",""ระยอง!J440"")"),1)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IFERROR(__xludf.DUMMYFUNCTION("IMPORTRANGE(""https://docs.google.com/spreadsheets/d/1SX6NBoVAgQJ6U1MVXOaj8PK2l7WJ3RER9xtqwdhxkhw/edit?usp=sharing"",""ระยอง!J441"")"),1)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IFERROR(__xludf.DUMMYFUNCTION("IMPORTRANGE(""https://docs.google.com/spreadsheets/d/1SX6NBoVAgQJ6U1MVXOaj8PK2l7WJ3RER9xtqwdhxkhw/edit?usp=sharing"",""ระยอง!I442"")"),22)</f>
        <v>22</v>
      </c>
      <c r="J547" s="189">
        <f ca="1">IFERROR(__xludf.DUMMYFUNCTION("IMPORTRANGE(""https://docs.google.com/spreadsheets/d/1SX6NBoVAgQJ6U1MVXOaj8PK2l7WJ3RER9xtqwdhxkhw/edit?usp=sharing"",""ระยอง!J442"")"),22)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IFERROR(__xludf.DUMMYFUNCTION("IMPORTRANGE(""https://docs.google.com/spreadsheets/d/1SX6NBoVAgQJ6U1MVXOaj8PK2l7WJ3RER9xtqwdhxkhw/edit?usp=sharing"",""ระยอง!J166"")"),0)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IFERROR(__xludf.DUMMYFUNCTION("IMPORTRANGE(""https://docs.google.com/spreadsheets/d/1SX6NBoVAgQJ6U1MVXOaj8PK2l7WJ3RER9xtqwdhxkhw/edit?usp=sharing"",""ระยอง!J444"")"),0)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IFERROR(__xludf.DUMMYFUNCTION("IMPORTRANGE(""https://docs.google.com/spreadsheets/d/1SX6NBoVAgQJ6U1MVXOaj8PK2l7WJ3RER9xtqwdhxkhw/edit?usp=sharing"",""ระยอง!L447"")"),0)</f>
        <v>0</v>
      </c>
      <c r="M552" s="164"/>
      <c r="N552" s="169">
        <f ca="1">IFERROR(__xludf.DUMMYFUNCTION("IMPORTRANGE(""https://docs.google.com/spreadsheets/d/1SX6NBoVAgQJ6U1MVXOaj8PK2l7WJ3RER9xtqwdhxkhw/edit?usp=sharing"",""ระยอง!M447"")"),0)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IFERROR(__xludf.DUMMYFUNCTION("IMPORTRANGE(""https://docs.google.com/spreadsheets/d/1SX6NBoVAgQJ6U1MVXOaj8PK2l7WJ3RER9xtqwdhxkhw/edit?usp=sharing"",""ระยอง!L448"")"),0)</f>
        <v>0</v>
      </c>
      <c r="M553" s="165"/>
      <c r="N553" s="169">
        <f ca="1">IFERROR(__xludf.DUMMYFUNCTION("IMPORTRANGE(""https://docs.google.com/spreadsheets/d/1SX6NBoVAgQJ6U1MVXOaj8PK2l7WJ3RER9xtqwdhxkhw/edit?usp=sharing"",""ระยอง!M448"")"),0)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IFERROR(__xludf.DUMMYFUNCTION("IMPORTRANGE(""https://docs.google.com/spreadsheets/d/1SX6NBoVAgQJ6U1MVXOaj8PK2l7WJ3RER9xtqwdhxkhw/edit?usp=sharing"",""ระยอง!L449"")"),0)</f>
        <v>0</v>
      </c>
      <c r="M554" s="169"/>
      <c r="N554" s="169">
        <f ca="1">IFERROR(__xludf.DUMMYFUNCTION("IMPORTRANGE(""https://docs.google.com/spreadsheets/d/1SX6NBoVAgQJ6U1MVXOaj8PK2l7WJ3RER9xtqwdhxkhw/edit?usp=sharing"",""ระยอง!M449"")"),0)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IFERROR(__xludf.DUMMYFUNCTION("IMPORTRANGE(""https://docs.google.com/spreadsheets/d/1SX6NBoVAgQJ6U1MVXOaj8PK2l7WJ3RER9xtqwdhxkhw/edit?usp=sharing"",""ระยอง!L450"")"),0)</f>
        <v>0</v>
      </c>
      <c r="M555" s="169"/>
      <c r="N555" s="169">
        <f ca="1">IFERROR(__xludf.DUMMYFUNCTION("IMPORTRANGE(""https://docs.google.com/spreadsheets/d/1SX6NBoVAgQJ6U1MVXOaj8PK2l7WJ3RER9xtqwdhxkhw/edit?usp=sharing"",""ระยอง!M450"")"),0)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IFERROR(__xludf.DUMMYFUNCTION("IMPORTRANGE(""https://docs.google.com/spreadsheets/d/1SX6NBoVAgQJ6U1MVXOaj8PK2l7WJ3RER9xtqwdhxkhw/edit?usp=sharing"",""ระยอง!M451"")"),0)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IFERROR(__xludf.DUMMYFUNCTION("IMPORTRANGE(""https://docs.google.com/spreadsheets/d/1SX6NBoVAgQJ6U1MVXOaj8PK2l7WJ3RER9xtqwdhxkhw/edit?usp=sharing"",""ระยอง!M452"")"),0)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IFERROR(__xludf.DUMMYFUNCTION("IMPORTRANGE(""https://docs.google.com/spreadsheets/d/1SX6NBoVAgQJ6U1MVXOaj8PK2l7WJ3RER9xtqwdhxkhw/edit?usp=sharing"",""ระยอง!M453"")"),0)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IFERROR(__xludf.DUMMYFUNCTION("IMPORTRANGE(""https://docs.google.com/spreadsheets/d/1SX6NBoVAgQJ6U1MVXOaj8PK2l7WJ3RER9xtqwdhxkhw/edit?usp=sharing"",""ระยอง!M454"")"),0)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IFERROR(__xludf.DUMMYFUNCTION("IMPORTRANGE(""https://docs.google.com/spreadsheets/d/1SX6NBoVAgQJ6U1MVXOaj8PK2l7WJ3RER9xtqwdhxkhw/edit?usp=sharing"",""ระยอง!I455"")"),0)</f>
        <v>0</v>
      </c>
      <c r="J560" s="162">
        <f ca="1">IFERROR(__xludf.DUMMYFUNCTION("IMPORTRANGE(""https://docs.google.com/spreadsheets/d/1SX6NBoVAgQJ6U1MVXOaj8PK2l7WJ3RER9xtqwdhxkhw/edit?usp=sharing"",""ระยอง!J455"")"),0)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IFERROR(__xludf.DUMMYFUNCTION("IMPORTRANGE(""https://docs.google.com/spreadsheets/d/1SX6NBoVAgQJ6U1MVXOaj8PK2l7WJ3RER9xtqwdhxkhw/edit?usp=sharing"",""ระยอง!I456"")"),0)</f>
        <v>0</v>
      </c>
      <c r="J561" s="204">
        <f ca="1">IFERROR(__xludf.DUMMYFUNCTION("IMPORTRANGE(""https://docs.google.com/spreadsheets/d/1SX6NBoVAgQJ6U1MVXOaj8PK2l7WJ3RER9xtqwdhxkhw/edit?usp=sharing"",""ระยอง!J456"")"),0)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IFERROR(__xludf.DUMMYFUNCTION("IMPORTRANGE(""https://docs.google.com/spreadsheets/d/1SX6NBoVAgQJ6U1MVXOaj8PK2l7WJ3RER9xtqwdhxkhw/edit?usp=sharing"",""ระยอง!J459"")"),260)</f>
        <v>260</v>
      </c>
      <c r="K564" s="372">
        <f ca="1">IF(I564&gt;0,J564*100/I564,0)</f>
        <v>130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IFERROR(__xludf.DUMMYFUNCTION("IMPORTRANGE(""https://docs.google.com/spreadsheets/d/1SX6NBoVAgQJ6U1MVXOaj8PK2l7WJ3RER9xtqwdhxkhw/edit?usp=sharing"",""ระยอง!M459"")"),56112)</f>
        <v>56112</v>
      </c>
      <c r="O564" s="373">
        <f t="shared" ref="O564:O568" ca="1" si="122">+IF(L564&gt;0,N564*100/L564,0)</f>
        <v>46.481113320079523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IFERROR(__xludf.DUMMYFUNCTION("IMPORTRANGE(""https://docs.google.com/spreadsheets/d/1SX6NBoVAgQJ6U1MVXOaj8PK2l7WJ3RER9xtqwdhxkhw/edit?usp=sharing"",""ระยอง!L460"")"),0)</f>
        <v>0</v>
      </c>
      <c r="M565" s="164"/>
      <c r="N565" s="169">
        <f ca="1">IFERROR(__xludf.DUMMYFUNCTION("IMPORTRANGE(""https://docs.google.com/spreadsheets/d/1SX6NBoVAgQJ6U1MVXOaj8PK2l7WJ3RER9xtqwdhxkhw/edit?usp=sharing"",""ระยอง!M460"")"),0)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IFERROR(__xludf.DUMMYFUNCTION("IMPORTRANGE(""https://docs.google.com/spreadsheets/d/1SX6NBoVAgQJ6U1MVXOaj8PK2l7WJ3RER9xtqwdhxkhw/edit?usp=sharing"",""ระยอง!L461"")"),120720)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IFERROR(__xludf.DUMMYFUNCTION("IMPORTRANGE(""https://docs.google.com/spreadsheets/d/1SX6NBoVAgQJ6U1MVXOaj8PK2l7WJ3RER9xtqwdhxkhw/edit?usp=sharing"",""ระยอง!M461"")"),56112)</f>
        <v>56112</v>
      </c>
      <c r="O566" s="169">
        <f t="shared" ca="1" si="122"/>
        <v>46.481113320079523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IFERROR(__xludf.DUMMYFUNCTION("IMPORTRANGE(""https://docs.google.com/spreadsheets/d/1SX6NBoVAgQJ6U1MVXOaj8PK2l7WJ3RER9xtqwdhxkhw/edit?usp=sharing"",""ระยอง!L462"")"),0)</f>
        <v>0</v>
      </c>
      <c r="M567" s="169"/>
      <c r="N567" s="169">
        <f ca="1">IFERROR(__xludf.DUMMYFUNCTION("IMPORTRANGE(""https://docs.google.com/spreadsheets/d/1SX6NBoVAgQJ6U1MVXOaj8PK2l7WJ3RER9xtqwdhxkhw/edit?usp=sharing"",""ระยอง!M462"")"),0)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IFERROR(__xludf.DUMMYFUNCTION("IMPORTRANGE(""https://docs.google.com/spreadsheets/d/1SX6NBoVAgQJ6U1MVXOaj8PK2l7WJ3RER9xtqwdhxkhw/edit?usp=sharing"",""ระยอง!L463"")"),120720)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IFERROR(__xludf.DUMMYFUNCTION("IMPORTRANGE(""https://docs.google.com/spreadsheets/d/1SX6NBoVAgQJ6U1MVXOaj8PK2l7WJ3RER9xtqwdhxkhw/edit?usp=sharing"",""ระยอง!M463"")"),56112)</f>
        <v>56112</v>
      </c>
      <c r="O568" s="169">
        <f t="shared" ca="1" si="122"/>
        <v>46.481113320079523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IFERROR(__xludf.DUMMYFUNCTION("IMPORTRANGE(""https://docs.google.com/spreadsheets/d/1SX6NBoVAgQJ6U1MVXOaj8PK2l7WJ3RER9xtqwdhxkhw/edit?usp=sharing"",""ระยอง!M464"")"),0)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IFERROR(__xludf.DUMMYFUNCTION("IMPORTRANGE(""https://docs.google.com/spreadsheets/d/1SX6NBoVAgQJ6U1MVXOaj8PK2l7WJ3RER9xtqwdhxkhw/edit?usp=sharing"",""ระยอง!M465"")"),0)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IFERROR(__xludf.DUMMYFUNCTION("IMPORTRANGE(""https://docs.google.com/spreadsheets/d/1SX6NBoVAgQJ6U1MVXOaj8PK2l7WJ3RER9xtqwdhxkhw/edit?usp=sharing"",""ระยอง!M467"")"),56112)</f>
        <v>56112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IFERROR(__xludf.DUMMYFUNCTION("IMPORTRANGE(""https://docs.google.com/spreadsheets/d/1SX6NBoVAgQJ6U1MVXOaj8PK2l7WJ3RER9xtqwdhxkhw/edit?usp=sharing"",""ระยอง!J468"")"),260)</f>
        <v>260</v>
      </c>
      <c r="K573" s="202">
        <f ca="1">IF(I573&gt;0,J573*100/I573,0)</f>
        <v>130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IFERROR(__xludf.DUMMYFUNCTION("IMPORTRANGE(""https://docs.google.com/spreadsheets/d/1SX6NBoVAgQJ6U1MVXOaj8PK2l7WJ3RER9xtqwdhxkhw/edit?usp=sharing"",""ระยอง!I470"")"),0)</f>
        <v>0</v>
      </c>
      <c r="J575" s="198">
        <f ca="1">IFERROR(__xludf.DUMMYFUNCTION("IMPORTRANGE(""https://docs.google.com/spreadsheets/d/1SX6NBoVAgQJ6U1MVXOaj8PK2l7WJ3RER9xtqwdhxkhw/edit?usp=sharing"",""ระยอง!J470"")"),2)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IFERROR(__xludf.DUMMYFUNCTION("IMPORTRANGE(""https://docs.google.com/spreadsheets/d/1SX6NBoVAgQJ6U1MVXOaj8PK2l7WJ3RER9xtqwdhxkhw/edit?usp=sharing"",""ระยอง!I471"")"),0)</f>
        <v>0</v>
      </c>
      <c r="J576" s="198">
        <f ca="1">IFERROR(__xludf.DUMMYFUNCTION("IMPORTRANGE(""https://docs.google.com/spreadsheets/d/1SX6NBoVAgQJ6U1MVXOaj8PK2l7WJ3RER9xtqwdhxkhw/edit?usp=sharing"",""ระยอง!J471"")"),172)</f>
        <v>172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IFERROR(__xludf.DUMMYFUNCTION("IMPORTRANGE(""https://docs.google.com/spreadsheets/d/1SX6NBoVAgQJ6U1MVXOaj8PK2l7WJ3RER9xtqwdhxkhw/edit?usp=sharing"",""ระยอง!I472"")"),0)</f>
        <v>0</v>
      </c>
      <c r="J577" s="189">
        <f ca="1">IFERROR(__xludf.DUMMYFUNCTION("IMPORTRANGE(""https://docs.google.com/spreadsheets/d/1SX6NBoVAgQJ6U1MVXOaj8PK2l7WJ3RER9xtqwdhxkhw/edit?usp=sharing"",""ระยอง!J472"")"),88)</f>
        <v>88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IFERROR(__xludf.DUMMYFUNCTION("IMPORTRANGE(""https://docs.google.com/spreadsheets/d/1SX6NBoVAgQJ6U1MVXOaj8PK2l7WJ3RER9xtqwdhxkhw/edit?usp=sharing"",""ระยอง!I473"")"),0)</f>
        <v>0</v>
      </c>
      <c r="J578" s="198">
        <f ca="1">IFERROR(__xludf.DUMMYFUNCTION("IMPORTRANGE(""https://docs.google.com/spreadsheets/d/1SX6NBoVAgQJ6U1MVXOaj8PK2l7WJ3RER9xtqwdhxkhw/edit?usp=sharing"",""ระยอง!J473"")"),0)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IFERROR(__xludf.DUMMYFUNCTION("IMPORTRANGE(""https://docs.google.com/spreadsheets/d/1SX6NBoVAgQJ6U1MVXOaj8PK2l7WJ3RER9xtqwdhxkhw/edit?usp=sharing"",""ระยอง!I474"")"),0)</f>
        <v>0</v>
      </c>
      <c r="J579" s="198">
        <f ca="1">IFERROR(__xludf.DUMMYFUNCTION("IMPORTRANGE(""https://docs.google.com/spreadsheets/d/1SX6NBoVAgQJ6U1MVXOaj8PK2l7WJ3RER9xtqwdhxkhw/edit?usp=sharing"",""ระยอง!J474"")"),0)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IFERROR(__xludf.DUMMYFUNCTION("IMPORTRANGE(""https://docs.google.com/spreadsheets/d/1SX6NBoVAgQJ6U1MVXOaj8PK2l7WJ3RER9xtqwdhxkhw/edit?usp=sharing"",""ระยอง!L475"")"),92960)</f>
        <v>92960</v>
      </c>
      <c r="M580" s="373"/>
      <c r="N580" s="373">
        <f ca="1">IFERROR(__xludf.DUMMYFUNCTION("IMPORTRANGE(""https://docs.google.com/spreadsheets/d/1SX6NBoVAgQJ6U1MVXOaj8PK2l7WJ3RER9xtqwdhxkhw/edit?usp=sharing"",""ระยอง!M475"")"),0)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IFERROR(__xludf.DUMMYFUNCTION("IMPORTRANGE(""https://docs.google.com/spreadsheets/d/1SX6NBoVAgQJ6U1MVXOaj8PK2l7WJ3RER9xtqwdhxkhw/edit?usp=sharing"",""ระยอง!L476"")"),0)</f>
        <v>0</v>
      </c>
      <c r="M581" s="164"/>
      <c r="N581" s="169">
        <f ca="1">IFERROR(__xludf.DUMMYFUNCTION("IMPORTRANGE(""https://docs.google.com/spreadsheets/d/1SX6NBoVAgQJ6U1MVXOaj8PK2l7WJ3RER9xtqwdhxkhw/edit?usp=sharing"",""ระยอง!M476"")"),0)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IFERROR(__xludf.DUMMYFUNCTION("IMPORTRANGE(""https://docs.google.com/spreadsheets/d/1SX6NBoVAgQJ6U1MVXOaj8PK2l7WJ3RER9xtqwdhxkhw/edit?usp=sharing"",""ระยอง!L477"")"),92960)</f>
        <v>92960</v>
      </c>
      <c r="M582" s="165"/>
      <c r="N582" s="169">
        <f ca="1">IFERROR(__xludf.DUMMYFUNCTION("IMPORTRANGE(""https://docs.google.com/spreadsheets/d/1SX6NBoVAgQJ6U1MVXOaj8PK2l7WJ3RER9xtqwdhxkhw/edit?usp=sharing"",""ระยอง!M477"")"),0)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IFERROR(__xludf.DUMMYFUNCTION("IMPORTRANGE(""https://docs.google.com/spreadsheets/d/1SX6NBoVAgQJ6U1MVXOaj8PK2l7WJ3RER9xtqwdhxkhw/edit?usp=sharing"",""ระยอง!L478"")"),0)</f>
        <v>0</v>
      </c>
      <c r="M583" s="169"/>
      <c r="N583" s="169">
        <f ca="1">IFERROR(__xludf.DUMMYFUNCTION("IMPORTRANGE(""https://docs.google.com/spreadsheets/d/1SX6NBoVAgQJ6U1MVXOaj8PK2l7WJ3RER9xtqwdhxkhw/edit?usp=sharing"",""ระยอง!M478"")"),0)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IFERROR(__xludf.DUMMYFUNCTION("IMPORTRANGE(""https://docs.google.com/spreadsheets/d/1SX6NBoVAgQJ6U1MVXOaj8PK2l7WJ3RER9xtqwdhxkhw/edit?usp=sharing"",""ระยอง!L479"")"),92960)</f>
        <v>92960</v>
      </c>
      <c r="M584" s="169"/>
      <c r="N584" s="169">
        <f ca="1">IFERROR(__xludf.DUMMYFUNCTION("IMPORTRANGE(""https://docs.google.com/spreadsheets/d/1SX6NBoVAgQJ6U1MVXOaj8PK2l7WJ3RER9xtqwdhxkhw/edit?usp=sharing"",""ระยอง!M479"")"),0)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IFERROR(__xludf.DUMMYFUNCTION("IMPORTRANGE(""https://docs.google.com/spreadsheets/d/1SX6NBoVAgQJ6U1MVXOaj8PK2l7WJ3RER9xtqwdhxkhw/edit?usp=sharing"",""ระยอง!M480"")"),0)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IFERROR(__xludf.DUMMYFUNCTION("IMPORTRANGE(""https://docs.google.com/spreadsheets/d/1SX6NBoVAgQJ6U1MVXOaj8PK2l7WJ3RER9xtqwdhxkhw/edit?usp=sharing"",""ระยอง!M481"")"),0)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IFERROR(__xludf.DUMMYFUNCTION("IMPORTRANGE(""https://docs.google.com/spreadsheets/d/1SX6NBoVAgQJ6U1MVXOaj8PK2l7WJ3RER9xtqwdhxkhw/edit?usp=sharing"",""ระยอง!M482"")"),0)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IFERROR(__xludf.DUMMYFUNCTION("IMPORTRANGE(""https://docs.google.com/spreadsheets/d/1SX6NBoVAgQJ6U1MVXOaj8PK2l7WJ3RER9xtqwdhxkhw/edit?usp=sharing"",""ระยอง!M483"")"),0)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IFERROR(__xludf.DUMMYFUNCTION("IMPORTRANGE(""https://docs.google.com/spreadsheets/d/1SX6NBoVAgQJ6U1MVXOaj8PK2l7WJ3RER9xtqwdhxkhw/edit?usp=sharing"",""ระยอง!I484"")"),0)</f>
        <v>0</v>
      </c>
      <c r="J589" s="188">
        <f ca="1">IFERROR(__xludf.DUMMYFUNCTION("IMPORTRANGE(""https://docs.google.com/spreadsheets/d/1SX6NBoVAgQJ6U1MVXOaj8PK2l7WJ3RER9xtqwdhxkhw/edit?usp=sharing"",""ระยอง!J484"")"),1)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8">
        <f ca="1">IFERROR(__xludf.DUMMYFUNCTION("IMPORTRANGE(""https://docs.google.com/spreadsheets/d/1SX6NBoVAgQJ6U1MVXOaj8PK2l7WJ3RER9xtqwdhxkhw/edit?usp=sharing"",""ระยอง!J485"")"),1.36)</f>
        <v>1.36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IFERROR(__xludf.DUMMYFUNCTION("IMPORTRANGE(""https://docs.google.com/spreadsheets/d/1SX6NBoVAgQJ6U1MVXOaj8PK2l7WJ3RER9xtqwdhxkhw/edit?usp=sharing"",""ระยอง!I486"")"),0)</f>
        <v>0</v>
      </c>
      <c r="J591" s="188">
        <f ca="1">IFERROR(__xludf.DUMMYFUNCTION("IMPORTRANGE(""https://docs.google.com/spreadsheets/d/1SX6NBoVAgQJ6U1MVXOaj8PK2l7WJ3RER9xtqwdhxkhw/edit?usp=sharing"",""ระยอง!J486"")"),0)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8">
        <f ca="1">IFERROR(__xludf.DUMMYFUNCTION("IMPORTRANGE(""https://docs.google.com/spreadsheets/d/1SX6NBoVAgQJ6U1MVXOaj8PK2l7WJ3RER9xtqwdhxkhw/edit?usp=sharing"",""ระยอง!J487"")"),0)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IFERROR(__xludf.DUMMYFUNCTION("IMPORTRANGE(""https://docs.google.com/spreadsheets/d/1SX6NBoVAgQJ6U1MVXOaj8PK2l7WJ3RER9xtqwdhxkhw/edit?usp=sharing"",""ระยอง!I488"")"),0)</f>
        <v>0</v>
      </c>
      <c r="J593" s="188">
        <f ca="1">IFERROR(__xludf.DUMMYFUNCTION("IMPORTRANGE(""https://docs.google.com/spreadsheets/d/1SX6NBoVAgQJ6U1MVXOaj8PK2l7WJ3RER9xtqwdhxkhw/edit?usp=sharing"",""ระยอง!J488"")"),0)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8">
        <f ca="1">IFERROR(__xludf.DUMMYFUNCTION("IMPORTRANGE(""https://docs.google.com/spreadsheets/d/1SX6NBoVAgQJ6U1MVXOaj8PK2l7WJ3RER9xtqwdhxkhw/edit?usp=sharing"",""ระยอง!J489"")"),0)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IFERROR(__xludf.DUMMYFUNCTION("IMPORTRANGE(""https://docs.google.com/spreadsheets/d/1SX6NBoVAgQJ6U1MVXOaj8PK2l7WJ3RER9xtqwdhxkhw/edit?usp=sharing"",""ระยอง!I490"")"),0)</f>
        <v>0</v>
      </c>
      <c r="J595" s="188">
        <f ca="1">IFERROR(__xludf.DUMMYFUNCTION("IMPORTRANGE(""https://docs.google.com/spreadsheets/d/1SX6NBoVAgQJ6U1MVXOaj8PK2l7WJ3RER9xtqwdhxkhw/edit?usp=sharing"",""ระยอง!J490"")"),0)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IFERROR(__xludf.DUMMYFUNCTION("IMPORTRANGE(""https://docs.google.com/spreadsheets/d/1SX6NBoVAgQJ6U1MVXOaj8PK2l7WJ3RER9xtqwdhxkhw/edit?usp=sharing"",""ระยอง!I491"")"),0)</f>
        <v>0</v>
      </c>
      <c r="J596" s="242">
        <f ca="1">IFERROR(__xludf.DUMMYFUNCTION("IMPORTRANGE(""https://docs.google.com/spreadsheets/d/1SX6NBoVAgQJ6U1MVXOaj8PK2l7WJ3RER9xtqwdhxkhw/edit?usp=sharing"",""ระยอง!J491"")"),0)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7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IFERROR(__xludf.DUMMYFUNCTION("IMPORTRANGE(""https://docs.google.com/spreadsheets/d/1SX6NBoVAgQJ6U1MVXOaj8PK2l7WJ3RER9xtqwdhxkhw/edit?usp=sharing"",""ระยอง!L492"")"),4550)</f>
        <v>4550</v>
      </c>
      <c r="M597" s="412"/>
      <c r="N597" s="412">
        <f ca="1">IFERROR(__xludf.DUMMYFUNCTION("IMPORTRANGE(""https://docs.google.com/spreadsheets/d/1SX6NBoVAgQJ6U1MVXOaj8PK2l7WJ3RER9xtqwdhxkhw/edit?usp=sharing"",""ระยอง!M492"")"),1300)</f>
        <v>1300</v>
      </c>
      <c r="O597" s="412">
        <f t="shared" ref="O597:O601" ca="1" si="126">+IF(L597&gt;0,N597*100/L597,0)</f>
        <v>28.571428571428573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IFERROR(__xludf.DUMMYFUNCTION("IMPORTRANGE(""https://docs.google.com/spreadsheets/d/1SX6NBoVAgQJ6U1MVXOaj8PK2l7WJ3RER9xtqwdhxkhw/edit?usp=sharing"",""ระยอง!L493"")"),0)</f>
        <v>0</v>
      </c>
      <c r="M598" s="164"/>
      <c r="N598" s="169">
        <f ca="1">IFERROR(__xludf.DUMMYFUNCTION("IMPORTRANGE(""https://docs.google.com/spreadsheets/d/1SX6NBoVAgQJ6U1MVXOaj8PK2l7WJ3RER9xtqwdhxkhw/edit?usp=sharing"",""ระยอง!M493"")"),0)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IFERROR(__xludf.DUMMYFUNCTION("IMPORTRANGE(""https://docs.google.com/spreadsheets/d/1SX6NBoVAgQJ6U1MVXOaj8PK2l7WJ3RER9xtqwdhxkhw/edit?usp=sharing"",""ระยอง!L494"")"),4550)</f>
        <v>4550</v>
      </c>
      <c r="M599" s="165"/>
      <c r="N599" s="169">
        <f ca="1">IFERROR(__xludf.DUMMYFUNCTION("IMPORTRANGE(""https://docs.google.com/spreadsheets/d/1SX6NBoVAgQJ6U1MVXOaj8PK2l7WJ3RER9xtqwdhxkhw/edit?usp=sharing"",""ระยอง!M494"")"),1300)</f>
        <v>1300</v>
      </c>
      <c r="O599" s="169">
        <f t="shared" ca="1" si="126"/>
        <v>28.571428571428573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IFERROR(__xludf.DUMMYFUNCTION("IMPORTRANGE(""https://docs.google.com/spreadsheets/d/1SX6NBoVAgQJ6U1MVXOaj8PK2l7WJ3RER9xtqwdhxkhw/edit?usp=sharing"",""ระยอง!L495"")"),0)</f>
        <v>0</v>
      </c>
      <c r="M600" s="169"/>
      <c r="N600" s="169">
        <f ca="1">IFERROR(__xludf.DUMMYFUNCTION("IMPORTRANGE(""https://docs.google.com/spreadsheets/d/1SX6NBoVAgQJ6U1MVXOaj8PK2l7WJ3RER9xtqwdhxkhw/edit?usp=sharing"",""ระยอง!M495"")"),0)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IFERROR(__xludf.DUMMYFUNCTION("IMPORTRANGE(""https://docs.google.com/spreadsheets/d/1SX6NBoVAgQJ6U1MVXOaj8PK2l7WJ3RER9xtqwdhxkhw/edit?usp=sharing"",""ระยอง!L496"")"),4550)</f>
        <v>4550</v>
      </c>
      <c r="M601" s="169"/>
      <c r="N601" s="169">
        <f ca="1">IFERROR(__xludf.DUMMYFUNCTION("IMPORTRANGE(""https://docs.google.com/spreadsheets/d/1SX6NBoVAgQJ6U1MVXOaj8PK2l7WJ3RER9xtqwdhxkhw/edit?usp=sharing"",""ระยอง!M496"")"),1300)</f>
        <v>1300</v>
      </c>
      <c r="O601" s="169">
        <f t="shared" ca="1" si="126"/>
        <v>28.571428571428573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IFERROR(__xludf.DUMMYFUNCTION("IMPORTRANGE(""https://docs.google.com/spreadsheets/d/1SX6NBoVAgQJ6U1MVXOaj8PK2l7WJ3RER9xtqwdhxkhw/edit?usp=sharing"",""ระยอง!M497"")"),0)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IFERROR(__xludf.DUMMYFUNCTION("IMPORTRANGE(""https://docs.google.com/spreadsheets/d/1SX6NBoVAgQJ6U1MVXOaj8PK2l7WJ3RER9xtqwdhxkhw/edit?usp=sharing"",""ระยอง!M498"")"),0)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IFERROR(__xludf.DUMMYFUNCTION("IMPORTRANGE(""https://docs.google.com/spreadsheets/d/1SX6NBoVAgQJ6U1MVXOaj8PK2l7WJ3RER9xtqwdhxkhw/edit?usp=sharing"",""ระยอง!M500"")"),1300)</f>
        <v>1300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IFERROR(__xludf.DUMMYFUNCTION("IMPORTRANGE(""https://docs.google.com/spreadsheets/d/1SX6NBoVAgQJ6U1MVXOaj8PK2l7WJ3RER9xtqwdhxkhw/edit?usp=sharing"",""ระยอง!J502"")"),0)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IFERROR(__xludf.DUMMYFUNCTION("IMPORTRANGE(""https://docs.google.com/spreadsheets/d/1SX6NBoVAgQJ6U1MVXOaj8PK2l7WJ3RER9xtqwdhxkhw/edit?usp=sharing"",""ระยอง!J503"")"),1)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IFERROR(__xludf.DUMMYFUNCTION("IMPORTRANGE(""https://docs.google.com/spreadsheets/d/1SX6NBoVAgQJ6U1MVXOaj8PK2l7WJ3RER9xtqwdhxkhw/edit?usp=sharing"",""ระยอง!J166"")"),0)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IFERROR(__xludf.DUMMYFUNCTION("IMPORTRANGE(""https://docs.google.com/spreadsheets/d/1SX6NBoVAgQJ6U1MVXOaj8PK2l7WJ3RER9xtqwdhxkhw/edit?usp=sharing"",""ระยอง!J166"")"),0)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IFERROR(__xludf.DUMMYFUNCTION("IMPORTRANGE(""https://docs.google.com/spreadsheets/d/1SX6NBoVAgQJ6U1MVXOaj8PK2l7WJ3RER9xtqwdhxkhw/edit?usp=sharing"",""ระยอง!I506"")"),50)</f>
        <v>50</v>
      </c>
      <c r="J611" s="162">
        <f ca="1">IFERROR(__xludf.DUMMYFUNCTION("IMPORTRANGE(""https://docs.google.com/spreadsheets/d/1SX6NBoVAgQJ6U1MVXOaj8PK2l7WJ3RER9xtqwdhxkhw/edit?usp=sharing"",""ระยอง!J506"")"),0)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IFERROR(__xludf.DUMMYFUNCTION("IMPORTRANGE(""https://docs.google.com/spreadsheets/d/1SX6NBoVAgQJ6U1MVXOaj8PK2l7WJ3RER9xtqwdhxkhw/edit?usp=sharing"",""ระยอง!I507"")"),0)</f>
        <v>0</v>
      </c>
      <c r="J612" s="198">
        <f ca="1">IFERROR(__xludf.DUMMYFUNCTION("IMPORTRANGE(""https://docs.google.com/spreadsheets/d/1SX6NBoVAgQJ6U1MVXOaj8PK2l7WJ3RER9xtqwdhxkhw/edit?usp=sharing"",""ระยอง!J507"")"),0)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IFERROR(__xludf.DUMMYFUNCTION("IMPORTRANGE(""https://docs.google.com/spreadsheets/d/1SX6NBoVAgQJ6U1MVXOaj8PK2l7WJ3RER9xtqwdhxkhw/edit?usp=sharing"",""ระยอง!I508"")"),0)</f>
        <v>0</v>
      </c>
      <c r="J613" s="198">
        <f ca="1">IFERROR(__xludf.DUMMYFUNCTION("IMPORTRANGE(""https://docs.google.com/spreadsheets/d/1SX6NBoVAgQJ6U1MVXOaj8PK2l7WJ3RER9xtqwdhxkhw/edit?usp=sharing"",""ระยอง!J508"")"),0)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IFERROR(__xludf.DUMMYFUNCTION("IMPORTRANGE(""https://docs.google.com/spreadsheets/d/1SX6NBoVAgQJ6U1MVXOaj8PK2l7WJ3RER9xtqwdhxkhw/edit?usp=sharing"",""ระยอง!I509"")"),0)</f>
        <v>0</v>
      </c>
      <c r="J614" s="198">
        <f ca="1">IFERROR(__xludf.DUMMYFUNCTION("IMPORTRANGE(""https://docs.google.com/spreadsheets/d/1SX6NBoVAgQJ6U1MVXOaj8PK2l7WJ3RER9xtqwdhxkhw/edit?usp=sharing"",""ระยอง!J509"")"),0)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IFERROR(__xludf.DUMMYFUNCTION("IMPORTRANGE(""https://docs.google.com/spreadsheets/d/1SX6NBoVAgQJ6U1MVXOaj8PK2l7WJ3RER9xtqwdhxkhw/edit?usp=sharing"",""ระยอง!I510"")"),0)</f>
        <v>0</v>
      </c>
      <c r="J615" s="198">
        <f ca="1">IFERROR(__xludf.DUMMYFUNCTION("IMPORTRANGE(""https://docs.google.com/spreadsheets/d/1SX6NBoVAgQJ6U1MVXOaj8PK2l7WJ3RER9xtqwdhxkhw/edit?usp=sharing"",""ระยอง!J510"")"),0)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IFERROR(__xludf.DUMMYFUNCTION("IMPORTRANGE(""https://docs.google.com/spreadsheets/d/1SX6NBoVAgQJ6U1MVXOaj8PK2l7WJ3RER9xtqwdhxkhw/edit?usp=sharing"",""ระยอง!I511"")"),0)</f>
        <v>0</v>
      </c>
      <c r="J616" s="198">
        <f ca="1">IFERROR(__xludf.DUMMYFUNCTION("IMPORTRANGE(""https://docs.google.com/spreadsheets/d/1SX6NBoVAgQJ6U1MVXOaj8PK2l7WJ3RER9xtqwdhxkhw/edit?usp=sharing"",""ระยอง!J511"")"),0)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IFERROR(__xludf.DUMMYFUNCTION("IMPORTRANGE(""https://docs.google.com/spreadsheets/d/1SX6NBoVAgQJ6U1MVXOaj8PK2l7WJ3RER9xtqwdhxkhw/edit?usp=sharing"",""ระยอง!I512"")"),0)</f>
        <v>0</v>
      </c>
      <c r="J617" s="188">
        <f ca="1">IFERROR(__xludf.DUMMYFUNCTION("IMPORTRANGE(""https://docs.google.com/spreadsheets/d/1SX6NBoVAgQJ6U1MVXOaj8PK2l7WJ3RER9xtqwdhxkhw/edit?usp=sharing"",""ระยอง!J512"")"),0)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IFERROR(__xludf.DUMMYFUNCTION("IMPORTRANGE(""https://docs.google.com/spreadsheets/d/1SX6NBoVAgQJ6U1MVXOaj8PK2l7WJ3RER9xtqwdhxkhw/edit?usp=sharing"",""ระยอง!I513"")"),0)</f>
        <v>0</v>
      </c>
      <c r="J618" s="189">
        <f ca="1">IFERROR(__xludf.DUMMYFUNCTION("IMPORTRANGE(""https://docs.google.com/spreadsheets/d/1SX6NBoVAgQJ6U1MVXOaj8PK2l7WJ3RER9xtqwdhxkhw/edit?usp=sharing"",""ระยอง!J513"")"),0)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IFERROR(__xludf.DUMMYFUNCTION("IMPORTRANGE(""https://docs.google.com/spreadsheets/d/1SX6NBoVAgQJ6U1MVXOaj8PK2l7WJ3RER9xtqwdhxkhw/edit?usp=sharing"",""ระยอง!I514"")"),0)</f>
        <v>0</v>
      </c>
      <c r="J619" s="189">
        <f ca="1">IFERROR(__xludf.DUMMYFUNCTION("IMPORTRANGE(""https://docs.google.com/spreadsheets/d/1SX6NBoVAgQJ6U1MVXOaj8PK2l7WJ3RER9xtqwdhxkhw/edit?usp=sharing"",""ระยอง!J514"")"),0)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IFERROR(__xludf.DUMMYFUNCTION("IMPORTRANGE(""https://docs.google.com/spreadsheets/d/1SX6NBoVAgQJ6U1MVXOaj8PK2l7WJ3RER9xtqwdhxkhw/edit?usp=sharing"",""ระยอง!I515"")"),0)</f>
        <v>0</v>
      </c>
      <c r="J620" s="203">
        <f ca="1">IFERROR(__xludf.DUMMYFUNCTION("IMPORTRANGE(""https://docs.google.com/spreadsheets/d/1SX6NBoVAgQJ6U1MVXOaj8PK2l7WJ3RER9xtqwdhxkhw/edit?usp=sharing"",""ระยอง!J515"")"),0)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IFERROR(__xludf.DUMMYFUNCTION("IMPORTRANGE(""https://docs.google.com/spreadsheets/d/1SX6NBoVAgQJ6U1MVXOaj8PK2l7WJ3RER9xtqwdhxkhw/edit?usp=sharing"",""ระยอง!I516"")"),0)</f>
        <v>0</v>
      </c>
      <c r="J621" s="203">
        <f ca="1">IFERROR(__xludf.DUMMYFUNCTION("IMPORTRANGE(""https://docs.google.com/spreadsheets/d/1SX6NBoVAgQJ6U1MVXOaj8PK2l7WJ3RER9xtqwdhxkhw/edit?usp=sharing"",""ระยอง!J516"")"),0)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IFERROR(__xludf.DUMMYFUNCTION("IMPORTRANGE(""https://docs.google.com/spreadsheets/d/1SX6NBoVAgQJ6U1MVXOaj8PK2l7WJ3RER9xtqwdhxkhw/edit?usp=sharing"",""ระยอง!I517"")"),0)</f>
        <v>0</v>
      </c>
      <c r="J622" s="189">
        <f ca="1">IFERROR(__xludf.DUMMYFUNCTION("IMPORTRANGE(""https://docs.google.com/spreadsheets/d/1SX6NBoVAgQJ6U1MVXOaj8PK2l7WJ3RER9xtqwdhxkhw/edit?usp=sharing"",""ระยอง!J517"")"),0)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IFERROR(__xludf.DUMMYFUNCTION("IMPORTRANGE(""https://docs.google.com/spreadsheets/d/1SX6NBoVAgQJ6U1MVXOaj8PK2l7WJ3RER9xtqwdhxkhw/edit?usp=sharing"",""ระยอง!I518"")"),0)</f>
        <v>0</v>
      </c>
      <c r="J623" s="189">
        <f ca="1">IFERROR(__xludf.DUMMYFUNCTION("IMPORTRANGE(""https://docs.google.com/spreadsheets/d/1SX6NBoVAgQJ6U1MVXOaj8PK2l7WJ3RER9xtqwdhxkhw/edit?usp=sharing"",""ระยอง!J518"")"),0)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IFERROR(__xludf.DUMMYFUNCTION("IMPORTRANGE(""https://docs.google.com/spreadsheets/d/1SX6NBoVAgQJ6U1MVXOaj8PK2l7WJ3RER9xtqwdhxkhw/edit?usp=sharing"",""ระยอง!I519"")"),0)</f>
        <v>0</v>
      </c>
      <c r="J624" s="188">
        <f ca="1">IFERROR(__xludf.DUMMYFUNCTION("IMPORTRANGE(""https://docs.google.com/spreadsheets/d/1SX6NBoVAgQJ6U1MVXOaj8PK2l7WJ3RER9xtqwdhxkhw/edit?usp=sharing"",""ระยอง!J519"")"),0)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IFERROR(__xludf.DUMMYFUNCTION("IMPORTRANGE(""https://docs.google.com/spreadsheets/d/1SX6NBoVAgQJ6U1MVXOaj8PK2l7WJ3RER9xtqwdhxkhw/edit?usp=sharing"",""ระยอง!I520"")"),0)</f>
        <v>0</v>
      </c>
      <c r="J625" s="189">
        <f ca="1">IFERROR(__xludf.DUMMYFUNCTION("IMPORTRANGE(""https://docs.google.com/spreadsheets/d/1SX6NBoVAgQJ6U1MVXOaj8PK2l7WJ3RER9xtqwdhxkhw/edit?usp=sharing"",""ระยอง!J520"")"),0)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IFERROR(__xludf.DUMMYFUNCTION("IMPORTRANGE(""https://docs.google.com/spreadsheets/d/1SX6NBoVAgQJ6U1MVXOaj8PK2l7WJ3RER9xtqwdhxkhw/edit?usp=sharing"",""ระยอง!I521"")"),0)</f>
        <v>0</v>
      </c>
      <c r="J626" s="189">
        <f ca="1">IFERROR(__xludf.DUMMYFUNCTION("IMPORTRANGE(""https://docs.google.com/spreadsheets/d/1SX6NBoVAgQJ6U1MVXOaj8PK2l7WJ3RER9xtqwdhxkhw/edit?usp=sharing"",""ระยอง!J521"")"),0)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IFERROR(__xludf.DUMMYFUNCTION("IMPORTRANGE(""https://docs.google.com/spreadsheets/d/1SX6NBoVAgQJ6U1MVXOaj8PK2l7WJ3RER9xtqwdhxkhw/edit?usp=sharing"",""ระยอง!I523"")"),2198052.65)</f>
        <v>2198052.65</v>
      </c>
      <c r="J628" s="342">
        <f ca="1">IFERROR(__xludf.DUMMYFUNCTION("IMPORTRANGE(""https://docs.google.com/spreadsheets/d/1SX6NBoVAgQJ6U1MVXOaj8PK2l7WJ3RER9xtqwdhxkhw/edit?usp=sharing"",""ระยอง!J523"")"),955790.22)</f>
        <v>955790.22</v>
      </c>
      <c r="K628" s="343">
        <f t="shared" ref="K628:K635" ca="1" si="129">IF(I628&gt;0,J628*100/I628,0)</f>
        <v>43.483499815165942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IFERROR(__xludf.DUMMYFUNCTION("IMPORTRANGE(""https://docs.google.com/spreadsheets/d/1SX6NBoVAgQJ6U1MVXOaj8PK2l7WJ3RER9xtqwdhxkhw/edit?usp=sharing"",""ระยอง!I524"")"),144)</f>
        <v>144</v>
      </c>
      <c r="J629" s="342">
        <f ca="1">IFERROR(__xludf.DUMMYFUNCTION("IMPORTRANGE(""https://docs.google.com/spreadsheets/d/1SX6NBoVAgQJ6U1MVXOaj8PK2l7WJ3RER9xtqwdhxkhw/edit?usp=sharing"",""ระยอง!J524"")"),62)</f>
        <v>62</v>
      </c>
      <c r="K629" s="343">
        <f t="shared" ca="1" si="129"/>
        <v>43.055555555555557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IFERROR(__xludf.DUMMYFUNCTION("IMPORTRANGE(""https://docs.google.com/spreadsheets/d/1SX6NBoVAgQJ6U1MVXOaj8PK2l7WJ3RER9xtqwdhxkhw/edit?usp=sharing"",""ระยอง!I525"")"),1625986.59)</f>
        <v>1625986.59</v>
      </c>
      <c r="J630" s="342">
        <f ca="1">IFERROR(__xludf.DUMMYFUNCTION("IMPORTRANGE(""https://docs.google.com/spreadsheets/d/1SX6NBoVAgQJ6U1MVXOaj8PK2l7WJ3RER9xtqwdhxkhw/edit?usp=sharing"",""ระยอง!J525"")"),216485.84)</f>
        <v>216485.84</v>
      </c>
      <c r="K630" s="343">
        <f t="shared" ca="1" si="129"/>
        <v>13.314122104783163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IFERROR(__xludf.DUMMYFUNCTION("IMPORTRANGE(""https://docs.google.com/spreadsheets/d/1SX6NBoVAgQJ6U1MVXOaj8PK2l7WJ3RER9xtqwdhxkhw/edit?usp=sharing"",""ระยอง!I526"")"),52)</f>
        <v>52</v>
      </c>
      <c r="J631" s="342">
        <f ca="1">IFERROR(__xludf.DUMMYFUNCTION("IMPORTRANGE(""https://docs.google.com/spreadsheets/d/1SX6NBoVAgQJ6U1MVXOaj8PK2l7WJ3RER9xtqwdhxkhw/edit?usp=sharing"",""ระยอง!J526"")"),22)</f>
        <v>22</v>
      </c>
      <c r="K631" s="343">
        <f t="shared" ca="1" si="129"/>
        <v>42.307692307692307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IFERROR(__xludf.DUMMYFUNCTION("IMPORTRANGE(""https://docs.google.com/spreadsheets/d/1SX6NBoVAgQJ6U1MVXOaj8PK2l7WJ3RER9xtqwdhxkhw/edit?usp=sharing"",""ระยอง!I527"")"),0)</f>
        <v>0</v>
      </c>
      <c r="J632" s="342">
        <f ca="1">IFERROR(__xludf.DUMMYFUNCTION("IMPORTRANGE(""https://docs.google.com/spreadsheets/d/1SX6NBoVAgQJ6U1MVXOaj8PK2l7WJ3RER9xtqwdhxkhw/edit?usp=sharing"",""ระยอง!J527"")"),0)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IFERROR(__xludf.DUMMYFUNCTION("IMPORTRANGE(""https://docs.google.com/spreadsheets/d/1SX6NBoVAgQJ6U1MVXOaj8PK2l7WJ3RER9xtqwdhxkhw/edit?usp=sharing"",""ระยอง!I528"")"),0)</f>
        <v>0</v>
      </c>
      <c r="J633" s="342">
        <f ca="1">IFERROR(__xludf.DUMMYFUNCTION("IMPORTRANGE(""https://docs.google.com/spreadsheets/d/1SX6NBoVAgQJ6U1MVXOaj8PK2l7WJ3RER9xtqwdhxkhw/edit?usp=sharing"",""ระยอง!J528"")"),0)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IFERROR(__xludf.DUMMYFUNCTION("IMPORTRANGE(""https://docs.google.com/spreadsheets/d/1SX6NBoVAgQJ6U1MVXOaj8PK2l7WJ3RER9xtqwdhxkhw/edit?usp=sharing"",""ระยอง!I529"")"),2450000)</f>
        <v>2450000</v>
      </c>
      <c r="J634" s="342">
        <f ca="1">IFERROR(__xludf.DUMMYFUNCTION("IMPORTRANGE(""https://docs.google.com/spreadsheets/d/1SX6NBoVAgQJ6U1MVXOaj8PK2l7WJ3RER9xtqwdhxkhw/edit?usp=sharing"",""ระยอง!J529"")"),760000)</f>
        <v>760000</v>
      </c>
      <c r="K634" s="343">
        <f t="shared" ca="1" si="129"/>
        <v>31.020408163265305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IFERROR(__xludf.DUMMYFUNCTION("IMPORTRANGE(""https://docs.google.com/spreadsheets/d/1SX6NBoVAgQJ6U1MVXOaj8PK2l7WJ3RER9xtqwdhxkhw/edit?usp=sharing"",""ระยอง!I530"")"),49)</f>
        <v>49</v>
      </c>
      <c r="J635" s="504">
        <f ca="1">IFERROR(__xludf.DUMMYFUNCTION("IMPORTRANGE(""https://docs.google.com/spreadsheets/d/1SX6NBoVAgQJ6U1MVXOaj8PK2l7WJ3RER9xtqwdhxkhw/edit?usp=sharing"",""ระยอง!J530"")"),18)</f>
        <v>18</v>
      </c>
      <c r="K635" s="486">
        <f t="shared" ca="1" si="129"/>
        <v>36.734693877551024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IFERROR(__xludf.DUMMYFUNCTION("IMPORTRANGE(""https://docs.google.com/spreadsheets/d/1SX6NBoVAgQJ6U1MVXOaj8PK2l7WJ3RER9xtqwdhxkhw/edit#gid=346597447"",""ระยอง!J541"")"),0)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IFERROR(__xludf.DUMMYFUNCTION("IMPORTRANGE(""https://docs.google.com/spreadsheets/d/1SX6NBoVAgQJ6U1MVXOaj8PK2l7WJ3RER9xtqwdhxkhw/edit#gid=346597447"",""ระยอง!J542"")"),0)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IFERROR(__xludf.DUMMYFUNCTION("IMPORTRANGE(""https://docs.google.com/spreadsheets/d/1SX6NBoVAgQJ6U1MVXOaj8PK2l7WJ3RER9xtqwdhxkhw/edit#gid=346597447"",""ระยอง!I543"")"),0)</f>
        <v>0</v>
      </c>
      <c r="J648" s="536">
        <f ca="1">IFERROR(__xludf.DUMMYFUNCTION("IMPORTRANGE(""https://docs.google.com/spreadsheets/d/1SX6NBoVAgQJ6U1MVXOaj8PK2l7WJ3RER9xtqwdhxkhw/edit#gid=346597447"",""ระยอง!J543"")"),0)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IFERROR(__xludf.DUMMYFUNCTION("IMPORTRANGE(""https://docs.google.com/spreadsheets/d/1SX6NBoVAgQJ6U1MVXOaj8PK2l7WJ3RER9xtqwdhxkhw/edit#gid=346597447"",""ระยอง!L543"")"),0)</f>
        <v>0</v>
      </c>
      <c r="M648" s="521"/>
      <c r="N648" s="538">
        <f ca="1">IFERROR(__xludf.DUMMYFUNCTION("IMPORTRANGE(""https://docs.google.com/spreadsheets/d/1SX6NBoVAgQJ6U1MVXOaj8PK2l7WJ3RER9xtqwdhxkhw/edit#gid=346597447"",""ระยอง!M543"")"),0)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IFERROR(__xludf.DUMMYFUNCTION("IMPORTRANGE(""https://docs.google.com/spreadsheets/d/1SX6NBoVAgQJ6U1MVXOaj8PK2l7WJ3RER9xtqwdhxkhw/edit#gid=346597447"",""ระยอง!I544"")"),0)</f>
        <v>0</v>
      </c>
      <c r="J649" s="536">
        <f ca="1">IFERROR(__xludf.DUMMYFUNCTION("IMPORTRANGE(""https://docs.google.com/spreadsheets/d/1SX6NBoVAgQJ6U1MVXOaj8PK2l7WJ3RER9xtqwdhxkhw/edit#gid=346597447"",""ระยอง!J544"")"),0)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IFERROR(__xludf.DUMMYFUNCTION("IMPORTRANGE(""https://docs.google.com/spreadsheets/d/1SX6NBoVAgQJ6U1MVXOaj8PK2l7WJ3RER9xtqwdhxkhw/edit#gid=346597447"",""ระยอง!L544"")"),0)</f>
        <v>0</v>
      </c>
      <c r="M649" s="521"/>
      <c r="N649" s="538">
        <f ca="1">IFERROR(__xludf.DUMMYFUNCTION("IMPORTRANGE(""https://docs.google.com/spreadsheets/d/1SX6NBoVAgQJ6U1MVXOaj8PK2l7WJ3RER9xtqwdhxkhw/edit#gid=346597447"",""ระยอง!M544"")"),0)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IFERROR(__xludf.DUMMYFUNCTION("IMPORTRANGE(""https://docs.google.com/spreadsheets/d/1SX6NBoVAgQJ6U1MVXOaj8PK2l7WJ3RER9xtqwdhxkhw/edit#gid=346597447"",""ระยอง!I545"")"),0)</f>
        <v>0</v>
      </c>
      <c r="J650" s="536">
        <f ca="1">IFERROR(__xludf.DUMMYFUNCTION("IMPORTRANGE(""https://docs.google.com/spreadsheets/d/1SX6NBoVAgQJ6U1MVXOaj8PK2l7WJ3RER9xtqwdhxkhw/edit#gid=346597447"",""ระยอง!J545"")"),0)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IFERROR(__xludf.DUMMYFUNCTION("IMPORTRANGE(""https://docs.google.com/spreadsheets/d/1SX6NBoVAgQJ6U1MVXOaj8PK2l7WJ3RER9xtqwdhxkhw/edit#gid=346597447"",""ระยอง!L545"")"),0)</f>
        <v>0</v>
      </c>
      <c r="M650" s="521"/>
      <c r="N650" s="538">
        <f ca="1">IFERROR(__xludf.DUMMYFUNCTION("IMPORTRANGE(""https://docs.google.com/spreadsheets/d/1SX6NBoVAgQJ6U1MVXOaj8PK2l7WJ3RER9xtqwdhxkhw/edit#gid=346597447"",""ระยอง!M545"")"),0)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IFERROR(__xludf.DUMMYFUNCTION("IMPORTRANGE(""https://docs.google.com/spreadsheets/d/1SX6NBoVAgQJ6U1MVXOaj8PK2l7WJ3RER9xtqwdhxkhw/edit#gid=346597447"",""ระยอง!I546"")"),0)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IFERROR(__xludf.DUMMYFUNCTION("IMPORTRANGE(""https://docs.google.com/spreadsheets/d/1SX6NBoVAgQJ6U1MVXOaj8PK2l7WJ3RER9xtqwdhxkhw/edit#gid=346597447"",""ระยอง!L546"")"),0)</f>
        <v>0</v>
      </c>
      <c r="M651" s="521"/>
      <c r="N651" s="538">
        <f ca="1">IFERROR(__xludf.DUMMYFUNCTION("IMPORTRANGE(""https://docs.google.com/spreadsheets/d/1SX6NBoVAgQJ6U1MVXOaj8PK2l7WJ3RER9xtqwdhxkhw/edit#gid=346597447"",""ระยอง!M546"")"),0)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IFERROR(__xludf.DUMMYFUNCTION("IMPORTRANGE(""https://docs.google.com/spreadsheets/d/1SX6NBoVAgQJ6U1MVXOaj8PK2l7WJ3RER9xtqwdhxkhw/edit#gid=346597447"",""ระยอง!J547"")"),0)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IFERROR(__xludf.DUMMYFUNCTION("IMPORTRANGE(""https://docs.google.com/spreadsheets/d/1SX6NBoVAgQJ6U1MVXOaj8PK2l7WJ3RER9xtqwdhxkhw/edit#gid=346597447"",""ระยอง!J548"")"),0)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IFERROR(__xludf.DUMMYFUNCTION("IMPORTRANGE(""https://docs.google.com/spreadsheets/d/1SX6NBoVAgQJ6U1MVXOaj8PK2l7WJ3RER9xtqwdhxkhw/edit#gid=346597447"",""ระยอง!J550"")"),0)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IFERROR(__xludf.DUMMYFUNCTION("IMPORTRANGE(""https://docs.google.com/spreadsheets/d/1SX6NBoVAgQJ6U1MVXOaj8PK2l7WJ3RER9xtqwdhxkhw/edit#gid=346597447"",""ระยอง!J551"")"),0)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IFERROR(__xludf.DUMMYFUNCTION("IMPORTRANGE(""https://docs.google.com/spreadsheets/d/1SX6NBoVAgQJ6U1MVXOaj8PK2l7WJ3RER9xtqwdhxkhw/edit#gid=346597447"",""ระยอง!J552"")"),0)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IFERROR(__xludf.DUMMYFUNCTION("IMPORTRANGE(""https://docs.google.com/spreadsheets/d/1SX6NBoVAgQJ6U1MVXOaj8PK2l7WJ3RER9xtqwdhxkhw/edit#gid=346597447"",""ระยอง!J553"")"),0)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IFERROR(__xludf.DUMMYFUNCTION("IMPORTRANGE(""https://docs.google.com/spreadsheets/d/1SX6NBoVAgQJ6U1MVXOaj8PK2l7WJ3RER9xtqwdhxkhw/edit#gid=346597447"",""ระยอง!J554"")"),0)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IFERROR(__xludf.DUMMYFUNCTION("IMPORTRANGE(""https://docs.google.com/spreadsheets/d/1SX6NBoVAgQJ6U1MVXOaj8PK2l7WJ3RER9xtqwdhxkhw/edit#gid=346597447"",""ระยอง!J555"")"),0)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IFERROR(__xludf.DUMMYFUNCTION("IMPORTRANGE(""https://docs.google.com/spreadsheets/d/1SX6NBoVAgQJ6U1MVXOaj8PK2l7WJ3RER9xtqwdhxkhw/edit#gid=346597447"",""ระยอง!J556"")"),0)</f>
        <v>0</v>
      </c>
      <c r="K661" s="537"/>
      <c r="L661" s="522">
        <f ca="1">IFERROR(__xludf.DUMMYFUNCTION("IMPORTRANGE(""https://docs.google.com/spreadsheets/d/1SX6NBoVAgQJ6U1MVXOaj8PK2l7WJ3RER9xtqwdhxkhw/edit#gid=346597447"",""ระยอง!L556"")"),0)</f>
        <v>0</v>
      </c>
      <c r="M661" s="521"/>
      <c r="N661" s="538">
        <f ca="1">IFERROR(__xludf.DUMMYFUNCTION("IMPORTRANGE(""https://docs.google.com/spreadsheets/d/1SX6NBoVAgQJ6U1MVXOaj8PK2l7WJ3RER9xtqwdhxkhw/edit#gid=346597447"",""ระยอง!M556"")"),0)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IFERROR(__xludf.DUMMYFUNCTION("IMPORTRANGE(""https://docs.google.com/spreadsheets/d/1SX6NBoVAgQJ6U1MVXOaj8PK2l7WJ3RER9xtqwdhxkhw/edit#gid=346597447"",""ระยอง!J557"")"),0)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IFERROR(__xludf.DUMMYFUNCTION("IMPORTRANGE(""https://docs.google.com/spreadsheets/d/1SX6NBoVAgQJ6U1MVXOaj8PK2l7WJ3RER9xtqwdhxkhw/edit#gid=346597447"",""ระยอง!I558"")"),0)</f>
        <v>0</v>
      </c>
      <c r="J663" s="536">
        <f ca="1">IFERROR(__xludf.DUMMYFUNCTION("IMPORTRANGE(""https://docs.google.com/spreadsheets/d/1SX6NBoVAgQJ6U1MVXOaj8PK2l7WJ3RER9xtqwdhxkhw/edit#gid=346597447"",""ระยอง!J558"")"),0)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IFERROR(__xludf.DUMMYFUNCTION("IMPORTRANGE(""https://docs.google.com/spreadsheets/d/1SX6NBoVAgQJ6U1MVXOaj8PK2l7WJ3RER9xtqwdhxkhw/edit#gid=346597447"",""ระยอง!I560"")"),0)</f>
        <v>0</v>
      </c>
      <c r="J665" s="536">
        <f ca="1">IFERROR(__xludf.DUMMYFUNCTION("IMPORTRANGE(""https://docs.google.com/spreadsheets/d/1SX6NBoVAgQJ6U1MVXOaj8PK2l7WJ3RER9xtqwdhxkhw/edit#gid=346597447"",""ระยอง!J560"")"),0)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IFERROR(__xludf.DUMMYFUNCTION("IMPORTRANGE(""https://docs.google.com/spreadsheets/d/1SX6NBoVAgQJ6U1MVXOaj8PK2l7WJ3RER9xtqwdhxkhw/edit#gid=346597447"",""ระยอง!L560"")"),0)</f>
        <v>0</v>
      </c>
      <c r="M665" s="521"/>
      <c r="N665" s="538">
        <f ca="1">IFERROR(__xludf.DUMMYFUNCTION("IMPORTRANGE(""https://docs.google.com/spreadsheets/d/1SX6NBoVAgQJ6U1MVXOaj8PK2l7WJ3RER9xtqwdhxkhw/edit#gid=346597447"",""ระยอง!M560"")"),0)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IFERROR(__xludf.DUMMYFUNCTION("IMPORTRANGE(""https://docs.google.com/spreadsheets/d/1SX6NBoVAgQJ6U1MVXOaj8PK2l7WJ3RER9xtqwdhxkhw/edit#gid=346597447"",""ระยอง!J561"")"),0)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IFERROR(__xludf.DUMMYFUNCTION("IMPORTRANGE(""https://docs.google.com/spreadsheets/d/1SX6NBoVAgQJ6U1MVXOaj8PK2l7WJ3RER9xtqwdhxkhw/edit#gid=346597447"",""ระยอง!J562"")"),0)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IFERROR(__xludf.DUMMYFUNCTION("IMPORTRANGE(""https://docs.google.com/spreadsheets/d/1SX6NBoVAgQJ6U1MVXOaj8PK2l7WJ3RER9xtqwdhxkhw/edit#gid=346597447"",""ระยอง!I563"")"),0)</f>
        <v>0</v>
      </c>
      <c r="J668" s="536">
        <f ca="1">IFERROR(__xludf.DUMMYFUNCTION("IMPORTRANGE(""https://docs.google.com/spreadsheets/d/1SX6NBoVAgQJ6U1MVXOaj8PK2l7WJ3RER9xtqwdhxkhw/edit#gid=346597447"",""ระยอง!J563"")"),0)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IFERROR(__xludf.DUMMYFUNCTION("IMPORTRANGE(""https://docs.google.com/spreadsheets/d/1SX6NBoVAgQJ6U1MVXOaj8PK2l7WJ3RER9xtqwdhxkhw/edit#gid=346597447"",""ระยอง!L563"")"),0)</f>
        <v>0</v>
      </c>
      <c r="M668" s="521"/>
      <c r="N668" s="538">
        <f ca="1">IFERROR(__xludf.DUMMYFUNCTION("IMPORTRANGE(""https://docs.google.com/spreadsheets/d/1SX6NBoVAgQJ6U1MVXOaj8PK2l7WJ3RER9xtqwdhxkhw/edit#gid=346597447"",""ระยอง!M563"")"),0)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IFERROR(__xludf.DUMMYFUNCTION("IMPORTRANGE(""https://docs.google.com/spreadsheets/d/1SX6NBoVAgQJ6U1MVXOaj8PK2l7WJ3RER9xtqwdhxkhw/edit#gid=346597447"",""ระยอง!J564"")"),0)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IFERROR(__xludf.DUMMYFUNCTION("IMPORTRANGE(""https://docs.google.com/spreadsheets/d/1SX6NBoVAgQJ6U1MVXOaj8PK2l7WJ3RER9xtqwdhxkhw/edit#gid=346597447"",""ระยอง!J565"")"),0)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IFERROR(__xludf.DUMMYFUNCTION("IMPORTRANGE(""https://docs.google.com/spreadsheets/d/1SX6NBoVAgQJ6U1MVXOaj8PK2l7WJ3RER9xtqwdhxkhw/edit#gid=346597447"",""ระยอง!I566"")"),0)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IFERROR(__xludf.DUMMYFUNCTION("IMPORTRANGE(""https://docs.google.com/spreadsheets/d/1SX6NBoVAgQJ6U1MVXOaj8PK2l7WJ3RER9xtqwdhxkhw/edit#gid=346597447"",""ระยอง!L566"")"),0)</f>
        <v>0</v>
      </c>
      <c r="M671" s="521"/>
      <c r="N671" s="538">
        <f ca="1">IFERROR(__xludf.DUMMYFUNCTION("IMPORTRANGE(""https://docs.google.com/spreadsheets/d/1SX6NBoVAgQJ6U1MVXOaj8PK2l7WJ3RER9xtqwdhxkhw/edit#gid=346597447"",""ระยอง!M566"")"),0)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IFERROR(__xludf.DUMMYFUNCTION("IMPORTRANGE(""https://docs.google.com/spreadsheets/d/1SX6NBoVAgQJ6U1MVXOaj8PK2l7WJ3RER9xtqwdhxkhw/edit#gid=346597447"",""ระยอง!J567"")"),0)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IFERROR(__xludf.DUMMYFUNCTION("IMPORTRANGE(""https://docs.google.com/spreadsheets/d/1SX6NBoVAgQJ6U1MVXOaj8PK2l7WJ3RER9xtqwdhxkhw/edit#gid=346597447"",""ระยอง!J568"")"),0)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IFERROR(__xludf.DUMMYFUNCTION("IMPORTRANGE(""https://docs.google.com/spreadsheets/d/1SX6NBoVAgQJ6U1MVXOaj8PK2l7WJ3RER9xtqwdhxkhw/edit#gid=346597447"",""ระยอง!J569"")"),0)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IFERROR(__xludf.DUMMYFUNCTION("IMPORTRANGE(""https://docs.google.com/spreadsheets/d/1SX6NBoVAgQJ6U1MVXOaj8PK2l7WJ3RER9xtqwdhxkhw/edit#gid=346597447"",""ระยอง!J570"")"),0)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IFERROR(__xludf.DUMMYFUNCTION("IMPORTRANGE(""https://docs.google.com/spreadsheets/d/1SX6NBoVAgQJ6U1MVXOaj8PK2l7WJ3RER9xtqwdhxkhw/edit#gid=346597447"",""ระยอง!J571"")"),0)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IFERROR(__xludf.DUMMYFUNCTION("IMPORTRANGE(""https://docs.google.com/spreadsheets/d/1SX6NBoVAgQJ6U1MVXOaj8PK2l7WJ3RER9xtqwdhxkhw/edit#gid=346597447"",""ระยอง!J572"")"),0)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288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3820737</v>
      </c>
      <c r="M8" s="23">
        <f t="shared" ca="1" si="0"/>
        <v>1814520</v>
      </c>
      <c r="N8" s="23">
        <f t="shared" ca="1" si="0"/>
        <v>2198422.04</v>
      </c>
      <c r="O8" s="22">
        <f t="shared" ref="O8:O16" ca="1" si="1">IF(L8&gt;0,N8*100/L8,0)</f>
        <v>57.539214031219629</v>
      </c>
      <c r="P8" s="22">
        <f t="shared" ref="P8:P16" ca="1" si="2">IF(M8&gt;0,N8*100/M8,0)</f>
        <v>121.15722284681348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3820737</v>
      </c>
      <c r="M10" s="30">
        <f t="shared" ca="1" si="4"/>
        <v>1814520</v>
      </c>
      <c r="N10" s="30">
        <f t="shared" ca="1" si="4"/>
        <v>2198422.04</v>
      </c>
      <c r="O10" s="29">
        <f t="shared" ca="1" si="1"/>
        <v>57.539214031219629</v>
      </c>
      <c r="P10" s="29">
        <f t="shared" ca="1" si="2"/>
        <v>121.15722284681348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3601437</v>
      </c>
      <c r="M12" s="38">
        <f t="shared" ca="1" si="6"/>
        <v>1595220</v>
      </c>
      <c r="N12" s="38">
        <f t="shared" ca="1" si="6"/>
        <v>1979122.04</v>
      </c>
      <c r="O12" s="38">
        <f t="shared" ca="1" si="1"/>
        <v>54.953676546334144</v>
      </c>
      <c r="P12" s="38">
        <f t="shared" ca="1" si="2"/>
        <v>124.06577399982447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1326800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2274637</v>
      </c>
      <c r="M14" s="38">
        <f t="shared" si="8"/>
        <v>0</v>
      </c>
      <c r="N14" s="38">
        <f t="shared" ca="1" si="8"/>
        <v>653015.75</v>
      </c>
      <c r="O14" s="38">
        <f t="shared" ca="1" si="1"/>
        <v>28.708569762999545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219300</v>
      </c>
      <c r="M16" s="38">
        <f t="shared" ca="1" si="10"/>
        <v>219300</v>
      </c>
      <c r="N16" s="38">
        <f t="shared" ca="1" si="10"/>
        <v>219300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2224205</v>
      </c>
      <c r="M18" s="23">
        <f t="shared" ca="1" si="11"/>
        <v>1814520</v>
      </c>
      <c r="N18" s="23">
        <f t="shared" ca="1" si="11"/>
        <v>1545406.29</v>
      </c>
      <c r="O18" s="22">
        <f t="shared" ref="O18:O20" ca="1" si="12">IF(L18&gt;0,N18*100/L18,0)</f>
        <v>69.481288370451466</v>
      </c>
      <c r="P18" s="22">
        <f t="shared" ref="P18:P26" ca="1" si="13">IF(M18&gt;0,N18*100/M18,0)</f>
        <v>85.168876066397729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2224205</v>
      </c>
      <c r="M20" s="30">
        <f t="shared" ca="1" si="15"/>
        <v>1814520</v>
      </c>
      <c r="N20" s="30">
        <f t="shared" ca="1" si="15"/>
        <v>1545406.29</v>
      </c>
      <c r="O20" s="29">
        <f t="shared" ca="1" si="12"/>
        <v>69.481288370451466</v>
      </c>
      <c r="P20" s="29">
        <f t="shared" ca="1" si="13"/>
        <v>85.168876066397729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2004905</v>
      </c>
      <c r="M22" s="41">
        <f t="shared" ca="1" si="18"/>
        <v>1595220</v>
      </c>
      <c r="N22" s="38">
        <f t="shared" ca="1" si="18"/>
        <v>1326106.29</v>
      </c>
      <c r="O22" s="38">
        <f t="shared" ca="1" si="17"/>
        <v>66.143098550804154</v>
      </c>
      <c r="P22" s="38">
        <f t="shared" ca="1" si="13"/>
        <v>83.12999398202129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1326800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678105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219300</v>
      </c>
      <c r="M26" s="49">
        <f t="shared" ca="1" si="22"/>
        <v>219300</v>
      </c>
      <c r="N26" s="49">
        <f t="shared" ca="1" si="22"/>
        <v>219300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1596532</v>
      </c>
      <c r="M28" s="23">
        <f t="shared" si="23"/>
        <v>0</v>
      </c>
      <c r="N28" s="23">
        <f t="shared" ca="1" si="23"/>
        <v>653015.75</v>
      </c>
      <c r="O28" s="22">
        <f t="shared" ref="O28:O30" ca="1" si="24">IF(L28&gt;0,N28*100/L28,0)</f>
        <v>40.902139762936166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1596532</v>
      </c>
      <c r="M30" s="30">
        <f t="shared" si="27"/>
        <v>0</v>
      </c>
      <c r="N30" s="30">
        <f t="shared" ca="1" si="27"/>
        <v>653015.75</v>
      </c>
      <c r="O30" s="29">
        <f t="shared" ca="1" si="24"/>
        <v>40.902139762936166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1596532</v>
      </c>
      <c r="M32" s="38">
        <f t="shared" si="30"/>
        <v>0</v>
      </c>
      <c r="N32" s="38">
        <f t="shared" ca="1" si="30"/>
        <v>653015.75</v>
      </c>
      <c r="O32" s="38">
        <f t="shared" ca="1" si="29"/>
        <v>40.902139762936166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1596532</v>
      </c>
      <c r="M34" s="38">
        <f t="shared" si="32"/>
        <v>0</v>
      </c>
      <c r="N34" s="38">
        <f t="shared" ca="1" si="32"/>
        <v>653015.75</v>
      </c>
      <c r="O34" s="38">
        <f t="shared" ca="1" si="29"/>
        <v>40.902139762936166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2224205</v>
      </c>
      <c r="M37" s="54">
        <f t="shared" ca="1" si="33"/>
        <v>1814520</v>
      </c>
      <c r="N37" s="54">
        <f t="shared" ca="1" si="33"/>
        <v>1545406.29</v>
      </c>
      <c r="O37" s="55">
        <f t="shared" ca="1" si="29"/>
        <v>69.481288370451466</v>
      </c>
      <c r="P37" s="55">
        <f t="shared" ca="1" si="25"/>
        <v>85.168876066397729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327065</v>
      </c>
      <c r="N41" s="78">
        <f t="shared" ca="1" si="34"/>
        <v>312539.2</v>
      </c>
      <c r="O41" s="77">
        <f t="shared" ref="O41:O43" ca="1" si="35">IF(L41&gt;0,N41*100/L41,0)</f>
        <v>94.479806529625151</v>
      </c>
      <c r="P41" s="77">
        <f t="shared" ref="P41:P43" ca="1" si="36">IF(M41&gt;0,N41*100/M41,0)</f>
        <v>95.558742146056588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327065</v>
      </c>
      <c r="N43" s="78">
        <f t="shared" ca="1" si="38"/>
        <v>312539.2</v>
      </c>
      <c r="O43" s="77">
        <f t="shared" ca="1" si="35"/>
        <v>94.479806529625151</v>
      </c>
      <c r="P43" s="77">
        <f t="shared" ca="1" si="36"/>
        <v>95.558742146056588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IFERROR(__xludf.DUMMYFUNCTION("IMPORTRANGE(""https://docs.google.com/spreadsheets/d/1Yj_ptqi66GCucihVvJfMjLAmec39IyEx_6qawtMGysU/edit?usp=sharing"",""สบก!Q73"")"),327065)</f>
        <v>327065</v>
      </c>
      <c r="N45" s="49">
        <f ca="1">IFERROR(__xludf.DUMMYFUNCTION("IMPORTRANGE(""https://docs.google.com/spreadsheets/d/1Yj_ptqi66GCucihVvJfMjLAmec39IyEx_6qawtMGysU/edit?usp=sharing"",""สบก!R73"")"),312539.2)</f>
        <v>312539.2</v>
      </c>
      <c r="O45" s="38">
        <f ca="1">IF(L45&gt;0,N45*100/L45,0)</f>
        <v>94.479806529625151</v>
      </c>
      <c r="P45" s="38">
        <f ca="1">IF(M45&gt;0,N45*100/M45,0)</f>
        <v>95.558742146056588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IFERROR(__xludf.DUMMYFUNCTION("IMPORTRANGE(""https://docs.google.com/spreadsheets/d/1Yj_ptqi66GCucihVvJfMjLAmec39IyEx_6qawtMGysU/edit?usp=sharing"",""สบก!M73"")"),330800)</f>
        <v>330800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IFERROR(__xludf.DUMMYFUNCTION("IMPORTRANGE(""https://docs.google.com/spreadsheets/d/1Yj_ptqi66GCucihVvJfMjLAmec39IyEx_6qawtMGysU/edit?usp=sharing"",""สบก!O73"")"),0)</f>
        <v>0</v>
      </c>
      <c r="M49" s="49"/>
      <c r="N49" s="49">
        <f ca="1">IFERROR(__xludf.DUMMYFUNCTION("IMPORTRANGE(""https://docs.google.com/spreadsheets/d/1Yj_ptqi66GCucihVvJfMjLAmec39IyEx_6qawtMGysU/edit?usp=sharing"",""สบก!S73"")"),0)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239180</v>
      </c>
      <c r="N53" s="121">
        <f t="shared" ca="1" si="39"/>
        <v>227680.1</v>
      </c>
      <c r="O53" s="120">
        <f t="shared" ref="O53:O55" ca="1" si="40">IF(L53&gt;0,N53*100/L53,0)</f>
        <v>75.893366666666665</v>
      </c>
      <c r="P53" s="120">
        <f t="shared" ref="P53:P55" ca="1" si="41">IF(M53&gt;0,N53*100/M53,0)</f>
        <v>95.1919474872481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239180</v>
      </c>
      <c r="N55" s="121">
        <f t="shared" ca="1" si="43"/>
        <v>227680.1</v>
      </c>
      <c r="O55" s="120">
        <f t="shared" ca="1" si="40"/>
        <v>75.893366666666665</v>
      </c>
      <c r="P55" s="120">
        <f t="shared" ca="1" si="41"/>
        <v>95.1919474872481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IFERROR(__xludf.DUMMYFUNCTION("IMPORTRANGE(""https://docs.google.com/spreadsheets/d/1Yj_ptqi66GCucihVvJfMjLAmec39IyEx_6qawtMGysU/edit?usp=sharing"",""สบก!Z73"")"),239180)</f>
        <v>239180</v>
      </c>
      <c r="N57" s="49">
        <f ca="1">IFERROR(__xludf.DUMMYFUNCTION("IMPORTRANGE(""https://docs.google.com/spreadsheets/d/1Yj_ptqi66GCucihVvJfMjLAmec39IyEx_6qawtMGysU/edit?usp=sharing"",""สบก!AA73"")"),227680.1)</f>
        <v>227680.1</v>
      </c>
      <c r="O57" s="38">
        <f ca="1">IF(L57&gt;0,N57*100/L57,0)</f>
        <v>75.893366666666665</v>
      </c>
      <c r="P57" s="38">
        <f ca="1">IF(M57&gt;0,N57*100/M57,0)</f>
        <v>95.1919474872481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IFERROR(__xludf.DUMMYFUNCTION("IMPORTRANGE(""https://docs.google.com/spreadsheets/d/1Yj_ptqi66GCucihVvJfMjLAmec39IyEx_6qawtMGysU/edit?usp=sharing"",""สบก!AI73"")"),0)</f>
        <v>0</v>
      </c>
      <c r="N70" s="169">
        <f ca="1">IFERROR(__xludf.DUMMYFUNCTION("IMPORTRANGE(""https://docs.google.com/spreadsheets/d/1Yj_ptqi66GCucihVvJfMjLAmec39IyEx_6qawtMGysU/edit?usp=sharing"",""สบก!AJ73"")"),0)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IFERROR(__xludf.DUMMYFUNCTION("IMPORTRANGE(""https://docs.google.com/spreadsheets/d/1Yj_ptqi66GCucihVvJfMjLAmec39IyEx_6qawtMGysU/edit?usp=sharing"",""สบก!AE73"")"),0)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IFERROR(__xludf.DUMMYFUNCTION("IMPORTRANGE(""https://docs.google.com/spreadsheets/d/1Yj_ptqi66GCucihVvJfMjLAmec39IyEx_6qawtMGysU/edit?usp=sharing"",""สบก!AF73"")"),0)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IFERROR(__xludf.DUMMYFUNCTION("IMPORTRANGE(""https://docs.google.com/spreadsheets/d/1SX6NBoVAgQJ6U1MVXOaj8PK2l7WJ3RER9xtqwdhxkhw/edit?usp=sharing"",""ราชบุรี!J16"")"),0)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IFERROR(__xludf.DUMMYFUNCTION("IMPORTRANGE(""https://docs.google.com/spreadsheets/d/1SX6NBoVAgQJ6U1MVXOaj8PK2l7WJ3RER9xtqwdhxkhw/edit?usp=sharing"",""ราชบุรี!J17"")"),0)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IFERROR(__xludf.DUMMYFUNCTION("IMPORTRANGE(""https://docs.google.com/spreadsheets/d/1SX6NBoVAgQJ6U1MVXOaj8PK2l7WJ3RER9xtqwdhxkhw/edit?usp=sharing"",""ราชบุรี!J18"")"),0)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IFERROR(__xludf.DUMMYFUNCTION("IMPORTRANGE(""https://docs.google.com/spreadsheets/d/1SX6NBoVAgQJ6U1MVXOaj8PK2l7WJ3RER9xtqwdhxkhw/edit?usp=sharing"",""ราชบุรี!J19"")"),0)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IFERROR(__xludf.DUMMYFUNCTION("IMPORTRANGE(""https://docs.google.com/spreadsheets/d/1SX6NBoVAgQJ6U1MVXOaj8PK2l7WJ3RER9xtqwdhxkhw/edit?usp=sharing"",""ราชบุรี!I20"")"),0)</f>
        <v>0</v>
      </c>
      <c r="J80" s="201">
        <f ca="1">IFERROR(__xludf.DUMMYFUNCTION("IMPORTRANGE(""https://docs.google.com/spreadsheets/d/1SX6NBoVAgQJ6U1MVXOaj8PK2l7WJ3RER9xtqwdhxkhw/edit?usp=sharing"",""ราชบุรี!J20"")"),0)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IFERROR(__xludf.DUMMYFUNCTION("IMPORTRANGE(""https://docs.google.com/spreadsheets/d/1SX6NBoVAgQJ6U1MVXOaj8PK2l7WJ3RER9xtqwdhxkhw/edit?usp=sharing"",""ราชบุรี!I21"")"),0)</f>
        <v>0</v>
      </c>
      <c r="J81" s="201">
        <f ca="1">IFERROR(__xludf.DUMMYFUNCTION("IMPORTRANGE(""https://docs.google.com/spreadsheets/d/1SX6NBoVAgQJ6U1MVXOaj8PK2l7WJ3RER9xtqwdhxkhw/edit?usp=sharing"",""ราชบุรี!J21"")"),0)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IFERROR(__xludf.DUMMYFUNCTION("IMPORTRANGE(""https://docs.google.com/spreadsheets/d/1SX6NBoVAgQJ6U1MVXOaj8PK2l7WJ3RER9xtqwdhxkhw/edit?usp=sharing"",""ราชบุรี!I22"")"),0)</f>
        <v>0</v>
      </c>
      <c r="J82" s="204">
        <f ca="1">IFERROR(__xludf.DUMMYFUNCTION("IMPORTRANGE(""https://docs.google.com/spreadsheets/d/1SX6NBoVAgQJ6U1MVXOaj8PK2l7WJ3RER9xtqwdhxkhw/edit?usp=sharing"",""ราชบุรี!J22"")"),0)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IFERROR(__xludf.DUMMYFUNCTION("IMPORTRANGE(""https://docs.google.com/spreadsheets/d/1SX6NBoVAgQJ6U1MVXOaj8PK2l7WJ3RER9xtqwdhxkhw/edit?usp=sharing"",""ราชบุรี!I23"")"),0)</f>
        <v>0</v>
      </c>
      <c r="J83" s="204">
        <f ca="1">IFERROR(__xludf.DUMMYFUNCTION("IMPORTRANGE(""https://docs.google.com/spreadsheets/d/1SX6NBoVAgQJ6U1MVXOaj8PK2l7WJ3RER9xtqwdhxkhw/edit?usp=sharing"",""ราชบุรี!J23"")"),0)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IFERROR(__xludf.DUMMYFUNCTION("IMPORTRANGE(""https://docs.google.com/spreadsheets/d/1SX6NBoVAgQJ6U1MVXOaj8PK2l7WJ3RER9xtqwdhxkhw/edit?usp=sharing"",""ราชบุรี!I24"")"),0)</f>
        <v>0</v>
      </c>
      <c r="J84" s="189">
        <f ca="1">IFERROR(__xludf.DUMMYFUNCTION("IMPORTRANGE(""https://docs.google.com/spreadsheets/d/1SX6NBoVAgQJ6U1MVXOaj8PK2l7WJ3RER9xtqwdhxkhw/edit?usp=sharing"",""ราชบุรี!J24"")"),0)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IFERROR(__xludf.DUMMYFUNCTION("IMPORTRANGE(""https://docs.google.com/spreadsheets/d/1SX6NBoVAgQJ6U1MVXOaj8PK2l7WJ3RER9xtqwdhxkhw/edit?usp=sharing"",""ราชบุรี!I25"")"),0)</f>
        <v>0</v>
      </c>
      <c r="J85" s="189">
        <f ca="1">IFERROR(__xludf.DUMMYFUNCTION("IMPORTRANGE(""https://docs.google.com/spreadsheets/d/1SX6NBoVAgQJ6U1MVXOaj8PK2l7WJ3RER9xtqwdhxkhw/edit?usp=sharing"",""ราชบุรี!J25"")"),0)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IFERROR(__xludf.DUMMYFUNCTION("IMPORTRANGE(""https://docs.google.com/spreadsheets/d/1SX6NBoVAgQJ6U1MVXOaj8PK2l7WJ3RER9xtqwdhxkhw/edit?usp=sharing"",""ราชบุรี!I26"")"),0)</f>
        <v>0</v>
      </c>
      <c r="J86" s="204">
        <f ca="1">IFERROR(__xludf.DUMMYFUNCTION("IMPORTRANGE(""https://docs.google.com/spreadsheets/d/1SX6NBoVAgQJ6U1MVXOaj8PK2l7WJ3RER9xtqwdhxkhw/edit?usp=sharing"",""ราชบุรี!J26"")"),0)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IFERROR(__xludf.DUMMYFUNCTION("IMPORTRANGE(""https://docs.google.com/spreadsheets/d/1SX6NBoVAgQJ6U1MVXOaj8PK2l7WJ3RER9xtqwdhxkhw/edit?usp=sharing"",""ราชบุรี!I27"")"),0)</f>
        <v>0</v>
      </c>
      <c r="J87" s="204">
        <f ca="1">IFERROR(__xludf.DUMMYFUNCTION("IMPORTRANGE(""https://docs.google.com/spreadsheets/d/1SX6NBoVAgQJ6U1MVXOaj8PK2l7WJ3RER9xtqwdhxkhw/edit?usp=sharing"",""ราชบุรี!J27"")"),0)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IFERROR(__xludf.DUMMYFUNCTION("IMPORTRANGE(""https://docs.google.com/spreadsheets/d/1SX6NBoVAgQJ6U1MVXOaj8PK2l7WJ3RER9xtqwdhxkhw/edit?usp=sharing"",""ราชบุรี!I28"")"),0)</f>
        <v>0</v>
      </c>
      <c r="J88" s="204">
        <f ca="1">IFERROR(__xludf.DUMMYFUNCTION("IMPORTRANGE(""https://docs.google.com/spreadsheets/d/1SX6NBoVAgQJ6U1MVXOaj8PK2l7WJ3RER9xtqwdhxkhw/edit?usp=sharing"",""ราชบุรี!J28"")"),0)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IFERROR(__xludf.DUMMYFUNCTION("IMPORTRANGE(""https://docs.google.com/spreadsheets/d/1SX6NBoVAgQJ6U1MVXOaj8PK2l7WJ3RER9xtqwdhxkhw/edit?usp=sharing"",""ราชบุรี!J29"")"),0)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IFERROR(__xludf.DUMMYFUNCTION("IMPORTRANGE(""https://docs.google.com/spreadsheets/d/1SX6NBoVAgQJ6U1MVXOaj8PK2l7WJ3RER9xtqwdhxkhw/edit?usp=sharing"",""ราชบุรี!J30"")"),0)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295895</v>
      </c>
      <c r="N94" s="152">
        <f t="shared" ca="1" si="52"/>
        <v>233286.36</v>
      </c>
      <c r="O94" s="151">
        <f t="shared" ref="O94:O96" ca="1" si="53">IF(L94&gt;0,N94*100/L94,0)</f>
        <v>73.643020392701558</v>
      </c>
      <c r="P94" s="151">
        <f t="shared" ref="P94:P96" ca="1" si="54">IF(M94&gt;0,N94*100/M94,0)</f>
        <v>78.840926680072329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295895</v>
      </c>
      <c r="N96" s="157">
        <f t="shared" ca="1" si="56"/>
        <v>233286.36</v>
      </c>
      <c r="O96" s="156">
        <f t="shared" ca="1" si="53"/>
        <v>73.643020392701558</v>
      </c>
      <c r="P96" s="156">
        <f t="shared" ca="1" si="54"/>
        <v>78.840926680072329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IFERROR(__xludf.DUMMYFUNCTION("IMPORTRANGE(""https://docs.google.com/spreadsheets/d/1Yj_ptqi66GCucihVvJfMjLAmec39IyEx_6qawtMGysU/edit?usp=sharing"",""สบก!AR73"")"),111095)</f>
        <v>111095</v>
      </c>
      <c r="N98" s="169">
        <f ca="1">IFERROR(__xludf.DUMMYFUNCTION("IMPORTRANGE(""https://docs.google.com/spreadsheets/d/1Yj_ptqi66GCucihVvJfMjLAmec39IyEx_6qawtMGysU/edit?usp=sharing"",""สบก!AS73"")"),48486.36)</f>
        <v>48486.36</v>
      </c>
      <c r="O98" s="169">
        <f ca="1">IF(L98&gt;0,N98*100/L98,0)</f>
        <v>36.737657220791029</v>
      </c>
      <c r="P98" s="169">
        <f ca="1">IF(M98&gt;0,N98*100/M98,0)</f>
        <v>43.644052387596204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IFERROR(__xludf.DUMMYFUNCTION("IMPORTRANGE(""https://docs.google.com/spreadsheets/d/1Yj_ptqi66GCucihVvJfMjLAmec39IyEx_6qawtMGysU/edit?usp=sharing"",""สบก!AO73"")"),131980)</f>
        <v>131980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IFERROR(__xludf.DUMMYFUNCTION("IMPORTRANGE(""https://docs.google.com/spreadsheets/d/1SX6NBoVAgQJ6U1MVXOaj8PK2l7WJ3RER9xtqwdhxkhw/edit?usp=sharing"",""ราชบุรี!J39"")"),0)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IFERROR(__xludf.DUMMYFUNCTION("IMPORTRANGE(""https://docs.google.com/spreadsheets/d/1SX6NBoVAgQJ6U1MVXOaj8PK2l7WJ3RER9xtqwdhxkhw/edit?usp=sharing"",""ราชบุรี!J40"")"),1)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IFERROR(__xludf.DUMMYFUNCTION("IMPORTRANGE(""https://docs.google.com/spreadsheets/d/1SX6NBoVAgQJ6U1MVXOaj8PK2l7WJ3RER9xtqwdhxkhw/edit?usp=sharing"",""ราชบุรี!J41"")"),1)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IFERROR(__xludf.DUMMYFUNCTION("IMPORTRANGE(""https://docs.google.com/spreadsheets/d/1SX6NBoVAgQJ6U1MVXOaj8PK2l7WJ3RER9xtqwdhxkhw/edit?usp=sharing"",""ราชบุรี!J42"")"),1)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IFERROR(__xludf.DUMMYFUNCTION("IMPORTRANGE(""https://docs.google.com/spreadsheets/d/1SX6NBoVAgQJ6U1MVXOaj8PK2l7WJ3RER9xtqwdhxkhw/edit?usp=sharing"",""ราชบุรี!I43"")"),1)</f>
        <v>1</v>
      </c>
      <c r="J108" s="204">
        <f ca="1">IFERROR(__xludf.DUMMYFUNCTION("IMPORTRANGE(""https://docs.google.com/spreadsheets/d/1SX6NBoVAgQJ6U1MVXOaj8PK2l7WJ3RER9xtqwdhxkhw/edit?usp=sharing"",""ราชบุรี!J43"")"),1)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IFERROR(__xludf.DUMMYFUNCTION("IMPORTRANGE(""https://docs.google.com/spreadsheets/d/1SX6NBoVAgQJ6U1MVXOaj8PK2l7WJ3RER9xtqwdhxkhw/edit?usp=sharing"",""ราชบุรี!I44"")"),6)</f>
        <v>6</v>
      </c>
      <c r="J109" s="204">
        <f ca="1">IFERROR(__xludf.DUMMYFUNCTION("IMPORTRANGE(""https://docs.google.com/spreadsheets/d/1SX6NBoVAgQJ6U1MVXOaj8PK2l7WJ3RER9xtqwdhxkhw/edit?usp=sharing"",""ราชบุรี!J44"")"),6)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IFERROR(__xludf.DUMMYFUNCTION("IMPORTRANGE(""https://docs.google.com/spreadsheets/d/1SX6NBoVAgQJ6U1MVXOaj8PK2l7WJ3RER9xtqwdhxkhw/edit?usp=sharing"",""ราชบุรี!I45"")"),6)</f>
        <v>6</v>
      </c>
      <c r="J110" s="204">
        <f ca="1">IFERROR(__xludf.DUMMYFUNCTION("IMPORTRANGE(""https://docs.google.com/spreadsheets/d/1SX6NBoVAgQJ6U1MVXOaj8PK2l7WJ3RER9xtqwdhxkhw/edit?usp=sharing"",""ราชบุรี!J45"")"),6)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IFERROR(__xludf.DUMMYFUNCTION("IMPORTRANGE(""https://docs.google.com/spreadsheets/d/1SX6NBoVAgQJ6U1MVXOaj8PK2l7WJ3RER9xtqwdhxkhw/edit?usp=sharing"",""ราชบุรี!I46"")"),6)</f>
        <v>6</v>
      </c>
      <c r="J111" s="204">
        <f ca="1">IFERROR(__xludf.DUMMYFUNCTION("IMPORTRANGE(""https://docs.google.com/spreadsheets/d/1SX6NBoVAgQJ6U1MVXOaj8PK2l7WJ3RER9xtqwdhxkhw/edit?usp=sharing"",""ราชบุรี!J46"")"),6)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IFERROR(__xludf.DUMMYFUNCTION("IMPORTRANGE(""https://docs.google.com/spreadsheets/d/1SX6NBoVAgQJ6U1MVXOaj8PK2l7WJ3RER9xtqwdhxkhw/edit?usp=sharing"",""ราชบุรี!I47"")"),6)</f>
        <v>6</v>
      </c>
      <c r="J112" s="204">
        <f ca="1">IFERROR(__xludf.DUMMYFUNCTION("IMPORTRANGE(""https://docs.google.com/spreadsheets/d/1SX6NBoVAgQJ6U1MVXOaj8PK2l7WJ3RER9xtqwdhxkhw/edit?usp=sharing"",""ราชบุรี!J47"")"),6)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IFERROR(__xludf.DUMMYFUNCTION("IMPORTRANGE(""https://docs.google.com/spreadsheets/d/1SX6NBoVAgQJ6U1MVXOaj8PK2l7WJ3RER9xtqwdhxkhw/edit?usp=sharing"",""ราชบุรี!I48"")"),2)</f>
        <v>2</v>
      </c>
      <c r="J113" s="204">
        <f ca="1">IFERROR(__xludf.DUMMYFUNCTION("IMPORTRANGE(""https://docs.google.com/spreadsheets/d/1SX6NBoVAgQJ6U1MVXOaj8PK2l7WJ3RER9xtqwdhxkhw/edit?usp=sharing"",""ราชบุรี!J48"")"),0)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IFERROR(__xludf.DUMMYFUNCTION("IMPORTRANGE(""https://docs.google.com/spreadsheets/d/1SX6NBoVAgQJ6U1MVXOaj8PK2l7WJ3RER9xtqwdhxkhw/edit?usp=sharing"",""ราชบุรี!J49"")"),0)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IFERROR(__xludf.DUMMYFUNCTION("IMPORTRANGE(""https://docs.google.com/spreadsheets/d/1SX6NBoVAgQJ6U1MVXOaj8PK2l7WJ3RER9xtqwdhxkhw/edit?usp=sharing"",""ราชบุรี!J50"")"),0)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IFERROR(__xludf.DUMMYFUNCTION("IMPORTRANGE(""https://docs.google.com/spreadsheets/d/1Yj_ptqi66GCucihVvJfMjLAmec39IyEx_6qawtMGysU/edit?usp=sharing"",""สบก!BA73"")"),0)</f>
        <v>0</v>
      </c>
      <c r="N122" s="169">
        <f ca="1">IFERROR(__xludf.DUMMYFUNCTION("IMPORTRANGE(""https://docs.google.com/spreadsheets/d/1Yj_ptqi66GCucihVvJfMjLAmec39IyEx_6qawtMGysU/edit?usp=sharing"",""สบก!BB73"")"),0)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IFERROR(__xludf.DUMMYFUNCTION("IMPORTRANGE(""https://docs.google.com/spreadsheets/d/1Yj_ptqi66GCucihVvJfMjLAmec39IyEx_6qawtMGysU/edit?usp=sharing"",""สบก!AX73"")"),0)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IFERROR(__xludf.DUMMYFUNCTION("IMPORTRANGE(""https://docs.google.com/spreadsheets/d/1SX6NBoVAgQJ6U1MVXOaj8PK2l7WJ3RER9xtqwdhxkhw/edit?usp=sharing"",""ราชบุรี!J58"")"),0)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IFERROR(__xludf.DUMMYFUNCTION("IMPORTRANGE(""https://docs.google.com/spreadsheets/d/1SX6NBoVAgQJ6U1MVXOaj8PK2l7WJ3RER9xtqwdhxkhw/edit?usp=sharing"",""ราชบุรี!J59"")"),0)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IFERROR(__xludf.DUMMYFUNCTION("IMPORTRANGE(""https://docs.google.com/spreadsheets/d/1SX6NBoVAgQJ6U1MVXOaj8PK2l7WJ3RER9xtqwdhxkhw/edit?usp=sharing"",""ราชบุรี!J60"")"),0)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IFERROR(__xludf.DUMMYFUNCTION("IMPORTRANGE(""https://docs.google.com/spreadsheets/d/1SX6NBoVAgQJ6U1MVXOaj8PK2l7WJ3RER9xtqwdhxkhw/edit?usp=sharing"",""ราชบุรี!J61"")"),0)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IFERROR(__xludf.DUMMYFUNCTION("IMPORTRANGE(""https://docs.google.com/spreadsheets/d/1SX6NBoVAgQJ6U1MVXOaj8PK2l7WJ3RER9xtqwdhxkhw/edit?usp=sharing"",""ราชบุรี!I62"")"),0)</f>
        <v>0</v>
      </c>
      <c r="J132" s="204">
        <f ca="1">IFERROR(__xludf.DUMMYFUNCTION("IMPORTRANGE(""https://docs.google.com/spreadsheets/d/1SX6NBoVAgQJ6U1MVXOaj8PK2l7WJ3RER9xtqwdhxkhw/edit?usp=sharing"",""ราชบุรี!J62"")"),0)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IFERROR(__xludf.DUMMYFUNCTION("IMPORTRANGE(""https://docs.google.com/spreadsheets/d/1SX6NBoVAgQJ6U1MVXOaj8PK2l7WJ3RER9xtqwdhxkhw/edit?usp=sharing"",""ราชบุรี!I63"")"),0)</f>
        <v>0</v>
      </c>
      <c r="J133" s="204">
        <f ca="1">IFERROR(__xludf.DUMMYFUNCTION("IMPORTRANGE(""https://docs.google.com/spreadsheets/d/1SX6NBoVAgQJ6U1MVXOaj8PK2l7WJ3RER9xtqwdhxkhw/edit?usp=sharing"",""ราชบุรี!J63"")"),0)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IFERROR(__xludf.DUMMYFUNCTION("IMPORTRANGE(""https://docs.google.com/spreadsheets/d/1SX6NBoVAgQJ6U1MVXOaj8PK2l7WJ3RER9xtqwdhxkhw/edit?usp=sharing"",""ราชบุรี!J64"")"),0)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IFERROR(__xludf.DUMMYFUNCTION("IMPORTRANGE(""https://docs.google.com/spreadsheets/d/1SX6NBoVAgQJ6U1MVXOaj8PK2l7WJ3RER9xtqwdhxkhw/edit?usp=sharing"",""ราชบุรี!J65"")"),0)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IFERROR(__xludf.DUMMYFUNCTION("IMPORTRANGE(""https://docs.google.com/spreadsheets/d/1SX6NBoVAgQJ6U1MVXOaj8PK2l7WJ3RER9xtqwdhxkhw/edit?usp=sharing"",""ราชบุรี!I68"")"),0)</f>
        <v>0</v>
      </c>
      <c r="J138" s="268">
        <f ca="1">IFERROR(__xludf.DUMMYFUNCTION("IMPORTRANGE(""https://docs.google.com/spreadsheets/d/1SX6NBoVAgQJ6U1MVXOaj8PK2l7WJ3RER9xtqwdhxkhw/edit?usp=sharing"",""ราชบุรี!J68"")"),0)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47625</v>
      </c>
      <c r="N140" s="152">
        <f t="shared" ca="1" si="64"/>
        <v>1616.1</v>
      </c>
      <c r="O140" s="151">
        <f t="shared" ref="O140:O142" ca="1" si="65">IF(L140&gt;0,N140*100/L140,0)</f>
        <v>2.7625641025641028</v>
      </c>
      <c r="P140" s="151">
        <f t="shared" ref="P140:P142" ca="1" si="66">IF(M140&gt;0,N140*100/M140,0)</f>
        <v>3.3933858267716537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58500</v>
      </c>
      <c r="M142" s="157">
        <f t="shared" ca="1" si="68"/>
        <v>47625</v>
      </c>
      <c r="N142" s="157">
        <f t="shared" ca="1" si="68"/>
        <v>1616.1</v>
      </c>
      <c r="O142" s="156">
        <f t="shared" ca="1" si="65"/>
        <v>2.7625641025641028</v>
      </c>
      <c r="P142" s="156">
        <f t="shared" ca="1" si="66"/>
        <v>3.3933858267716537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58500</v>
      </c>
      <c r="M144" s="168">
        <f ca="1">IFERROR(__xludf.DUMMYFUNCTION("IMPORTRANGE(""https://docs.google.com/spreadsheets/d/1Yj_ptqi66GCucihVvJfMjLAmec39IyEx_6qawtMGysU/edit?usp=sharing"",""สบก!BJ73"")"),47625)</f>
        <v>47625</v>
      </c>
      <c r="N144" s="169">
        <f ca="1">IFERROR(__xludf.DUMMYFUNCTION("IMPORTRANGE(""https://docs.google.com/spreadsheets/d/1Yj_ptqi66GCucihVvJfMjLAmec39IyEx_6qawtMGysU/edit?usp=sharing"",""สบก!BK73"")"),1616.1)</f>
        <v>1616.1</v>
      </c>
      <c r="O144" s="169">
        <f ca="1">IF(L144&gt;0,N144*100/L144,0)</f>
        <v>2.7625641025641028</v>
      </c>
      <c r="P144" s="169">
        <f ca="1">IF(M144&gt;0,N144*100/M144,0)</f>
        <v>3.3933858267716537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IFERROR(__xludf.DUMMYFUNCTION("IMPORTRANGE(""https://docs.google.com/spreadsheets/d/1Yj_ptqi66GCucihVvJfMjLAmec39IyEx_6qawtMGysU/edit?usp=sharing"",""สบก!BF73"")"),0)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IFERROR(__xludf.DUMMYFUNCTION("IMPORTRANGE(""https://docs.google.com/spreadsheets/d/1Yj_ptqi66GCucihVvJfMjLAmec39IyEx_6qawtMGysU/edit?usp=sharing"",""สบก!BG73"")"),58500)</f>
        <v>58500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IFERROR(__xludf.DUMMYFUNCTION("IMPORTRANGE(""https://docs.google.com/spreadsheets/d/1SX6NBoVAgQJ6U1MVXOaj8PK2l7WJ3RER9xtqwdhxkhw/edit?usp=sharing"",""ราชบุรี!I74"")"),4)</f>
        <v>4</v>
      </c>
      <c r="J149" s="276">
        <f ca="1">IFERROR(__xludf.DUMMYFUNCTION("IMPORTRANGE(""https://docs.google.com/spreadsheets/d/1SX6NBoVAgQJ6U1MVXOaj8PK2l7WJ3RER9xtqwdhxkhw/edit?usp=sharing"",""ราชบุรี!J74"")"),3)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IFERROR(__xludf.DUMMYFUNCTION("IMPORTRANGE(""https://docs.google.com/spreadsheets/d/1SX6NBoVAgQJ6U1MVXOaj8PK2l7WJ3RER9xtqwdhxkhw/edit?usp=sharing"",""ราชบุรี!J79"")"),0)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IFERROR(__xludf.DUMMYFUNCTION("IMPORTRANGE(""https://docs.google.com/spreadsheets/d/1SX6NBoVAgQJ6U1MVXOaj8PK2l7WJ3RER9xtqwdhxkhw/edit?usp=sharing"",""ราชบุรี!J80"")"),1)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IFERROR(__xludf.DUMMYFUNCTION("IMPORTRANGE(""https://docs.google.com/spreadsheets/d/1SX6NBoVAgQJ6U1MVXOaj8PK2l7WJ3RER9xtqwdhxkhw/edit?usp=sharing"",""ราชบุรี!J81"")"),1)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IFERROR(__xludf.DUMMYFUNCTION("IMPORTRANGE(""https://docs.google.com/spreadsheets/d/1SX6NBoVAgQJ6U1MVXOaj8PK2l7WJ3RER9xtqwdhxkhw/edit?usp=sharing"",""ราชบุรี!J82"")"),1)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IFERROR(__xludf.DUMMYFUNCTION("IMPORTRANGE(""https://docs.google.com/spreadsheets/d/1SX6NBoVAgQJ6U1MVXOaj8PK2l7WJ3RER9xtqwdhxkhw/edit?usp=sharing"",""ราชบุรี!I83"")"),4)</f>
        <v>4</v>
      </c>
      <c r="J158" s="189">
        <f ca="1">IFERROR(__xludf.DUMMYFUNCTION("IMPORTRANGE(""https://docs.google.com/spreadsheets/d/1SX6NBoVAgQJ6U1MVXOaj8PK2l7WJ3RER9xtqwdhxkhw/edit?usp=sharing"",""ราชบุรี!J83"")"),3)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IFERROR(__xludf.DUMMYFUNCTION("IMPORTRANGE(""https://docs.google.com/spreadsheets/d/1SX6NBoVAgQJ6U1MVXOaj8PK2l7WJ3RER9xtqwdhxkhw/edit?usp=sharing"",""ราชบุรี!J84"")"),266)</f>
        <v>266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IFERROR(__xludf.DUMMYFUNCTION("IMPORTRANGE(""https://docs.google.com/spreadsheets/d/1SX6NBoVAgQJ6U1MVXOaj8PK2l7WJ3RER9xtqwdhxkhw/edit?usp=sharing"",""ราชบุรี!J85"")"),266)</f>
        <v>266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IFERROR(__xludf.DUMMYFUNCTION("IMPORTRANGE(""https://docs.google.com/spreadsheets/d/1SX6NBoVAgQJ6U1MVXOaj8PK2l7WJ3RER9xtqwdhxkhw/edit?usp=sharing"",""ราชบุรี!J86"")"),0)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IFERROR(__xludf.DUMMYFUNCTION("IMPORTRANGE(""https://docs.google.com/spreadsheets/d/1SX6NBoVAgQJ6U1MVXOaj8PK2l7WJ3RER9xtqwdhxkhw/edit?usp=sharing"",""ราชบุรี!J87"")"),0)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IFERROR(__xludf.DUMMYFUNCTION("IMPORTRANGE(""https://docs.google.com/spreadsheets/d/1SX6NBoVAgQJ6U1MVXOaj8PK2l7WJ3RER9xtqwdhxkhw/edit?usp=sharing"",""ราชบุรี!J88"")"),0)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IFERROR(__xludf.DUMMYFUNCTION("IMPORTRANGE(""https://docs.google.com/spreadsheets/d/1SX6NBoVAgQJ6U1MVXOaj8PK2l7WJ3RER9xtqwdhxkhw/edit?usp=sharing"",""ราชบุรี!I89"")"),3)</f>
        <v>3</v>
      </c>
      <c r="J164" s="285">
        <f ca="1">IFERROR(__xludf.DUMMYFUNCTION("IMPORTRANGE(""https://docs.google.com/spreadsheets/d/1SX6NBoVAgQJ6U1MVXOaj8PK2l7WJ3RER9xtqwdhxkhw/edit?usp=sharing"",""ราชบุรี!J89"")"),0)</f>
        <v>0</v>
      </c>
      <c r="K164" s="286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IFERROR(__xludf.DUMMYFUNCTION("IMPORTRANGE(""https://docs.google.com/spreadsheets/d/1SX6NBoVAgQJ6U1MVXOaj8PK2l7WJ3RER9xtqwdhxkhw/edit?usp=sharing"",""ราชบุรี!J94"")"),0)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IFERROR(__xludf.DUMMYFUNCTION("IMPORTRANGE(""https://docs.google.com/spreadsheets/d/1SX6NBoVAgQJ6U1MVXOaj8PK2l7WJ3RER9xtqwdhxkhw/edit?usp=sharing"",""ราชบุรี!J95"")"),1)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IFERROR(__xludf.DUMMYFUNCTION("IMPORTRANGE(""https://docs.google.com/spreadsheets/d/1SX6NBoVAgQJ6U1MVXOaj8PK2l7WJ3RER9xtqwdhxkhw/edit?usp=sharing"",""ราชบุรี!J96"")"),1)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IFERROR(__xludf.DUMMYFUNCTION("IMPORTRANGE(""https://docs.google.com/spreadsheets/d/1SX6NBoVAgQJ6U1MVXOaj8PK2l7WJ3RER9xtqwdhxkhw/edit?usp=sharing"",""ราชบุรี!J97"")"),1)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IFERROR(__xludf.DUMMYFUNCTION("IMPORTRANGE(""https://docs.google.com/spreadsheets/d/1SX6NBoVAgQJ6U1MVXOaj8PK2l7WJ3RER9xtqwdhxkhw/edit?usp=sharing"",""ราชบุรี!I98"")"),3)</f>
        <v>3</v>
      </c>
      <c r="J173" s="189">
        <f ca="1">IFERROR(__xludf.DUMMYFUNCTION("IMPORTRANGE(""https://docs.google.com/spreadsheets/d/1SX6NBoVAgQJ6U1MVXOaj8PK2l7WJ3RER9xtqwdhxkhw/edit?usp=sharing"",""ราชบุรี!J98"")"),0)</f>
        <v>0</v>
      </c>
      <c r="K173" s="163">
        <f ca="1">IF(I173&gt;0,J173*100/I173,0)</f>
        <v>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IFERROR(__xludf.DUMMYFUNCTION("IMPORTRANGE(""https://docs.google.com/spreadsheets/d/1SX6NBoVAgQJ6U1MVXOaj8PK2l7WJ3RER9xtqwdhxkhw/edit?usp=sharing"",""ราชบุรี!J99"")"),0)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IFERROR(__xludf.DUMMYFUNCTION("IMPORTRANGE(""https://docs.google.com/spreadsheets/d/1SX6NBoVAgQJ6U1MVXOaj8PK2l7WJ3RER9xtqwdhxkhw/edit?usp=sharing"",""ราชบุรี!J100"")"),0)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IFERROR(__xludf.DUMMYFUNCTION("IMPORTRANGE(""https://docs.google.com/spreadsheets/d/1SX6NBoVAgQJ6U1MVXOaj8PK2l7WJ3RER9xtqwdhxkhw/edit?usp=sharing"",""ราชบุรี!I101"")"),0)</f>
        <v>0</v>
      </c>
      <c r="J176" s="285">
        <f ca="1">IFERROR(__xludf.DUMMYFUNCTION("IMPORTRANGE(""https://docs.google.com/spreadsheets/d/1SX6NBoVAgQJ6U1MVXOaj8PK2l7WJ3RER9xtqwdhxkhw/edit?usp=sharing"",""ราชบุรี!J101"")"),0)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IFERROR(__xludf.DUMMYFUNCTION("IMPORTRANGE(""https://docs.google.com/spreadsheets/d/1SX6NBoVAgQJ6U1MVXOaj8PK2l7WJ3RER9xtqwdhxkhw/edit?usp=sharing"",""ราชบุรี!J106"")"),0)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IFERROR(__xludf.DUMMYFUNCTION("IMPORTRANGE(""https://docs.google.com/spreadsheets/d/1SX6NBoVAgQJ6U1MVXOaj8PK2l7WJ3RER9xtqwdhxkhw/edit?usp=sharing"",""ราชบุรี!J107"")"),0)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IFERROR(__xludf.DUMMYFUNCTION("IMPORTRANGE(""https://docs.google.com/spreadsheets/d/1SX6NBoVAgQJ6U1MVXOaj8PK2l7WJ3RER9xtqwdhxkhw/edit?usp=sharing"",""ราชบุรี!J108"")"),0)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IFERROR(__xludf.DUMMYFUNCTION("IMPORTRANGE(""https://docs.google.com/spreadsheets/d/1SX6NBoVAgQJ6U1MVXOaj8PK2l7WJ3RER9xtqwdhxkhw/edit?usp=sharing"",""ราชบุรี!J109"")"),0)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IFERROR(__xludf.DUMMYFUNCTION("IMPORTRANGE(""https://docs.google.com/spreadsheets/d/1SX6NBoVAgQJ6U1MVXOaj8PK2l7WJ3RER9xtqwdhxkhw/edit?usp=sharing"",""ราชบุรี!I110"")"),0)</f>
        <v>0</v>
      </c>
      <c r="J185" s="204">
        <f ca="1">IFERROR(__xludf.DUMMYFUNCTION("IMPORTRANGE(""https://docs.google.com/spreadsheets/d/1SX6NBoVAgQJ6U1MVXOaj8PK2l7WJ3RER9xtqwdhxkhw/edit?usp=sharing"",""ราชบุรี!J110"")"),0)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IFERROR(__xludf.DUMMYFUNCTION("IMPORTRANGE(""https://docs.google.com/spreadsheets/d/1SX6NBoVAgQJ6U1MVXOaj8PK2l7WJ3RER9xtqwdhxkhw/edit?usp=sharing"",""ราชบุรี!I111"")"),0)</f>
        <v>0</v>
      </c>
      <c r="J186" s="204">
        <f ca="1">IFERROR(__xludf.DUMMYFUNCTION("IMPORTRANGE(""https://docs.google.com/spreadsheets/d/1SX6NBoVAgQJ6U1MVXOaj8PK2l7WJ3RER9xtqwdhxkhw/edit?usp=sharing"",""ราชบุรี!J111"")"),0)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IFERROR(__xludf.DUMMYFUNCTION("IMPORTRANGE(""https://docs.google.com/spreadsheets/d/1SX6NBoVAgQJ6U1MVXOaj8PK2l7WJ3RER9xtqwdhxkhw/edit?usp=sharing"",""ราชบุรี!J112"")"),0)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IFERROR(__xludf.DUMMYFUNCTION("IMPORTRANGE(""https://docs.google.com/spreadsheets/d/1SX6NBoVAgQJ6U1MVXOaj8PK2l7WJ3RER9xtqwdhxkhw/edit?usp=sharing"",""ราชบุรี!J113"")"),0)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IFERROR(__xludf.DUMMYFUNCTION("IMPORTRANGE(""https://docs.google.com/spreadsheets/d/1SX6NBoVAgQJ6U1MVXOaj8PK2l7WJ3RER9xtqwdhxkhw/edit?usp=sharing"",""ราชบุรี!I114"")"),20000)</f>
        <v>20000</v>
      </c>
      <c r="J189" s="285">
        <f ca="1">IFERROR(__xludf.DUMMYFUNCTION("IMPORTRANGE(""https://docs.google.com/spreadsheets/d/1SX6NBoVAgQJ6U1MVXOaj8PK2l7WJ3RER9xtqwdhxkhw/edit?usp=sharing"",""ราชบุรี!J114"")"),0)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IFERROR(__xludf.DUMMYFUNCTION("IMPORTRANGE(""https://docs.google.com/spreadsheets/d/1SX6NBoVAgQJ6U1MVXOaj8PK2l7WJ3RER9xtqwdhxkhw/edit?usp=sharing"",""ราชบุรี!J119"")"),0)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IFERROR(__xludf.DUMMYFUNCTION("IMPORTRANGE(""https://docs.google.com/spreadsheets/d/1SX6NBoVAgQJ6U1MVXOaj8PK2l7WJ3RER9xtqwdhxkhw/edit?usp=sharing"",""ราชบุรี!J120"")"),1)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IFERROR(__xludf.DUMMYFUNCTION("IMPORTRANGE(""https://docs.google.com/spreadsheets/d/1SX6NBoVAgQJ6U1MVXOaj8PK2l7WJ3RER9xtqwdhxkhw/edit?usp=sharing"",""ราชบุรี!J121"")"),0)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IFERROR(__xludf.DUMMYFUNCTION("IMPORTRANGE(""https://docs.google.com/spreadsheets/d/1SX6NBoVAgQJ6U1MVXOaj8PK2l7WJ3RER9xtqwdhxkhw/edit?usp=sharing"",""ราชบุรี!J122"")"),0)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IFERROR(__xludf.DUMMYFUNCTION("IMPORTRANGE(""https://docs.google.com/spreadsheets/d/1SX6NBoVAgQJ6U1MVXOaj8PK2l7WJ3RER9xtqwdhxkhw/edit?usp=sharing"",""ราชบุรี!I124"")"),20000)</f>
        <v>20000</v>
      </c>
      <c r="J199" s="189">
        <f ca="1">IFERROR(__xludf.DUMMYFUNCTION("IMPORTRANGE(""https://docs.google.com/spreadsheets/d/1SX6NBoVAgQJ6U1MVXOaj8PK2l7WJ3RER9xtqwdhxkhw/edit?usp=sharing"",""ราชบุรี!J124"")"),0)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IFERROR(__xludf.DUMMYFUNCTION("IMPORTRANGE(""https://docs.google.com/spreadsheets/d/1SX6NBoVAgQJ6U1MVXOaj8PK2l7WJ3RER9xtqwdhxkhw/edit?usp=sharing"",""ราชบุรี!I125"")"),20000)</f>
        <v>20000</v>
      </c>
      <c r="J200" s="189">
        <f ca="1">IFERROR(__xludf.DUMMYFUNCTION("IMPORTRANGE(""https://docs.google.com/spreadsheets/d/1SX6NBoVAgQJ6U1MVXOaj8PK2l7WJ3RER9xtqwdhxkhw/edit?usp=sharing"",""ราชบุรี!J125"")"),0)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IFERROR(__xludf.DUMMYFUNCTION("IMPORTRANGE(""https://docs.google.com/spreadsheets/d/1SX6NBoVAgQJ6U1MVXOaj8PK2l7WJ3RER9xtqwdhxkhw/edit?usp=sharing"",""ราชบุรี!I126"")"),0)</f>
        <v>0</v>
      </c>
      <c r="J201" s="189">
        <f ca="1">IFERROR(__xludf.DUMMYFUNCTION("IMPORTRANGE(""https://docs.google.com/spreadsheets/d/1SX6NBoVAgQJ6U1MVXOaj8PK2l7WJ3RER9xtqwdhxkhw/edit?usp=sharing"",""ราชบุรี!J126"")"),0)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IFERROR(__xludf.DUMMYFUNCTION("IMPORTRANGE(""https://docs.google.com/spreadsheets/d/1SX6NBoVAgQJ6U1MVXOaj8PK2l7WJ3RER9xtqwdhxkhw/edit?usp=sharing"",""ราชบุรี!J127"")"),0)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IFERROR(__xludf.DUMMYFUNCTION("IMPORTRANGE(""https://docs.google.com/spreadsheets/d/1SX6NBoVAgQJ6U1MVXOaj8PK2l7WJ3RER9xtqwdhxkhw/edit?usp=sharing"",""ราชบุรี!J128"")"),0)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IFERROR(__xludf.DUMMYFUNCTION("IMPORTRANGE(""https://docs.google.com/spreadsheets/d/1SX6NBoVAgQJ6U1MVXOaj8PK2l7WJ3RER9xtqwdhxkhw/edit?usp=sharing"",""ราชบุรี!I129"")"),0)</f>
        <v>0</v>
      </c>
      <c r="J204" s="285">
        <f ca="1">IFERROR(__xludf.DUMMYFUNCTION("IMPORTRANGE(""https://docs.google.com/spreadsheets/d/1SX6NBoVAgQJ6U1MVXOaj8PK2l7WJ3RER9xtqwdhxkhw/edit?usp=sharing"",""ราชบุรี!J129"")"),0)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IFERROR(__xludf.DUMMYFUNCTION("IMPORTRANGE(""https://docs.google.com/spreadsheets/d/1SX6NBoVAgQJ6U1MVXOaj8PK2l7WJ3RER9xtqwdhxkhw/edit?usp=sharing"",""ราชบุรี!J134"")"),0)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IFERROR(__xludf.DUMMYFUNCTION("IMPORTRANGE(""https://docs.google.com/spreadsheets/d/1SX6NBoVAgQJ6U1MVXOaj8PK2l7WJ3RER9xtqwdhxkhw/edit?usp=sharing"",""ราชบุรี!J135"")"),0)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IFERROR(__xludf.DUMMYFUNCTION("IMPORTRANGE(""https://docs.google.com/spreadsheets/d/1SX6NBoVAgQJ6U1MVXOaj8PK2l7WJ3RER9xtqwdhxkhw/edit?usp=sharing"",""ราชบุรี!J136"")"),0)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IFERROR(__xludf.DUMMYFUNCTION("IMPORTRANGE(""https://docs.google.com/spreadsheets/d/1SX6NBoVAgQJ6U1MVXOaj8PK2l7WJ3RER9xtqwdhxkhw/edit?usp=sharing"",""ราชบุรี!J137"")"),0)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IFERROR(__xludf.DUMMYFUNCTION("IMPORTRANGE(""https://docs.google.com/spreadsheets/d/1SX6NBoVAgQJ6U1MVXOaj8PK2l7WJ3RER9xtqwdhxkhw/edit?usp=sharing"",""ราชบุรี!I138"")"),0)</f>
        <v>0</v>
      </c>
      <c r="J213" s="204">
        <f ca="1">IFERROR(__xludf.DUMMYFUNCTION("IMPORTRANGE(""https://docs.google.com/spreadsheets/d/1SX6NBoVAgQJ6U1MVXOaj8PK2l7WJ3RER9xtqwdhxkhw/edit?usp=sharing"",""ราชบุรี!J138"")"),0)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IFERROR(__xludf.DUMMYFUNCTION("IMPORTRANGE(""https://docs.google.com/spreadsheets/d/1SX6NBoVAgQJ6U1MVXOaj8PK2l7WJ3RER9xtqwdhxkhw/edit?usp=sharing"",""ราชบุรี!I140"")"),0)</f>
        <v>0</v>
      </c>
      <c r="J215" s="204">
        <f ca="1">IFERROR(__xludf.DUMMYFUNCTION("IMPORTRANGE(""https://docs.google.com/spreadsheets/d/1SX6NBoVAgQJ6U1MVXOaj8PK2l7WJ3RER9xtqwdhxkhw/edit?usp=sharing"",""ราชบุรี!J140"")"),0)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IFERROR(__xludf.DUMMYFUNCTION("IMPORTRANGE(""https://docs.google.com/spreadsheets/d/1SX6NBoVAgQJ6U1MVXOaj8PK2l7WJ3RER9xtqwdhxkhw/edit?usp=sharing"",""ราชบุรี!I141"")"),0)</f>
        <v>0</v>
      </c>
      <c r="J216" s="204">
        <f ca="1">IFERROR(__xludf.DUMMYFUNCTION("IMPORTRANGE(""https://docs.google.com/spreadsheets/d/1SX6NBoVAgQJ6U1MVXOaj8PK2l7WJ3RER9xtqwdhxkhw/edit?usp=sharing"",""ราชบุรี!J141"")"),0)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IFERROR(__xludf.DUMMYFUNCTION("IMPORTRANGE(""https://docs.google.com/spreadsheets/d/1SX6NBoVAgQJ6U1MVXOaj8PK2l7WJ3RER9xtqwdhxkhw/edit?usp=sharing"",""ราชบุรี!J142"")"),0)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IFERROR(__xludf.DUMMYFUNCTION("IMPORTRANGE(""https://docs.google.com/spreadsheets/d/1SX6NBoVAgQJ6U1MVXOaj8PK2l7WJ3RER9xtqwdhxkhw/edit?usp=sharing"",""ราชบุรี!J143"")"),0)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IFERROR(__xludf.DUMMYFUNCTION("IMPORTRANGE(""https://docs.google.com/spreadsheets/d/1SX6NBoVAgQJ6U1MVXOaj8PK2l7WJ3RER9xtqwdhxkhw/edit?usp=sharing"",""ราชบุรี!I144"")"),15)</f>
        <v>15</v>
      </c>
      <c r="J219" s="268">
        <f ca="1">IFERROR(__xludf.DUMMYFUNCTION("IMPORTRANGE(""https://docs.google.com/spreadsheets/d/1SX6NBoVAgQJ6U1MVXOaj8PK2l7WJ3RER9xtqwdhxkhw/edit?usp=sharing"",""ราชบุรี!J144"")"),15)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IFERROR(__xludf.DUMMYFUNCTION("IMPORTRANGE(""https://docs.google.com/spreadsheets/d/1Yj_ptqi66GCucihVvJfMjLAmec39IyEx_6qawtMGysU/edit?usp=sharing"",""สบก!BS73"")"),21125)</f>
        <v>21125</v>
      </c>
      <c r="N224" s="169">
        <f ca="1">IFERROR(__xludf.DUMMYFUNCTION("IMPORTRANGE(""https://docs.google.com/spreadsheets/d/1Yj_ptqi66GCucihVvJfMjLAmec39IyEx_6qawtMGysU/edit?usp=sharing"",""สบก!BT73"")"),21125)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IFERROR(__xludf.DUMMYFUNCTION("IMPORTRANGE(""https://docs.google.com/spreadsheets/d/1Yj_ptqi66GCucihVvJfMjLAmec39IyEx_6qawtMGysU/edit?usp=sharing"",""สบก!BP73"")"),21125)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IFERROR(__xludf.DUMMYFUNCTION("IMPORTRANGE(""https://docs.google.com/spreadsheets/d/1SX6NBoVAgQJ6U1MVXOaj8PK2l7WJ3RER9xtqwdhxkhw/edit?usp=sharing"",""ราชบุรี!I149"")"),15)</f>
        <v>15</v>
      </c>
      <c r="J229" s="268">
        <f ca="1">IFERROR(__xludf.DUMMYFUNCTION("IMPORTRANGE(""https://docs.google.com/spreadsheets/d/1SX6NBoVAgQJ6U1MVXOaj8PK2l7WJ3RER9xtqwdhxkhw/edit?usp=sharing"",""ราชบุรี!J149"")"),15)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IFERROR(__xludf.DUMMYFUNCTION("IMPORTRANGE(""https://docs.google.com/spreadsheets/d/1SX6NBoVAgQJ6U1MVXOaj8PK2l7WJ3RER9xtqwdhxkhw/edit?usp=sharing"",""ราชบุรี!J151"")"),0)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IFERROR(__xludf.DUMMYFUNCTION("IMPORTRANGE(""https://docs.google.com/spreadsheets/d/1SX6NBoVAgQJ6U1MVXOaj8PK2l7WJ3RER9xtqwdhxkhw/edit?usp=sharing"",""ราชบุรี!J152"")"),0)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IFERROR(__xludf.DUMMYFUNCTION("IMPORTRANGE(""https://docs.google.com/spreadsheets/d/1SX6NBoVAgQJ6U1MVXOaj8PK2l7WJ3RER9xtqwdhxkhw/edit?usp=sharing"",""ราชบุรี!J153"")"),0)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IFERROR(__xludf.DUMMYFUNCTION("IMPORTRANGE(""https://docs.google.com/spreadsheets/d/1SX6NBoVAgQJ6U1MVXOaj8PK2l7WJ3RER9xtqwdhxkhw/edit?usp=sharing"",""ราชบุรี!J154"")"),0)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IFERROR(__xludf.DUMMYFUNCTION("IMPORTRANGE(""https://docs.google.com/spreadsheets/d/1SX6NBoVAgQJ6U1MVXOaj8PK2l7WJ3RER9xtqwdhxkhw/edit?usp=sharing"",""ราชบุรี!I155"")"),15)</f>
        <v>15</v>
      </c>
      <c r="J235" s="189">
        <f ca="1">IFERROR(__xludf.DUMMYFUNCTION("IMPORTRANGE(""https://docs.google.com/spreadsheets/d/1SX6NBoVAgQJ6U1MVXOaj8PK2l7WJ3RER9xtqwdhxkhw/edit?usp=sharing"",""ราชบุรี!J155"")"),15)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IFERROR(__xludf.DUMMYFUNCTION("IMPORTRANGE(""https://docs.google.com/spreadsheets/d/1SX6NBoVAgQJ6U1MVXOaj8PK2l7WJ3RER9xtqwdhxkhw/edit?usp=sharing"",""ราชบุรี!J156"")"),1)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IFERROR(__xludf.DUMMYFUNCTION("IMPORTRANGE(""https://docs.google.com/spreadsheets/d/1SX6NBoVAgQJ6U1MVXOaj8PK2l7WJ3RER9xtqwdhxkhw/edit?usp=sharing"",""ราชบุรี!J157"")"),1)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IFERROR(__xludf.DUMMYFUNCTION("IMPORTRANGE(""https://docs.google.com/spreadsheets/d/1SX6NBoVAgQJ6U1MVXOaj8PK2l7WJ3RER9xtqwdhxkhw/edit?usp=sharing"",""ราชบุรี!I158"")"),0)</f>
        <v>0</v>
      </c>
      <c r="J238" s="268">
        <f ca="1">IFERROR(__xludf.DUMMYFUNCTION("IMPORTRANGE(""https://docs.google.com/spreadsheets/d/1SX6NBoVAgQJ6U1MVXOaj8PK2l7WJ3RER9xtqwdhxkhw/edit?usp=sharing"",""ราชบุรี!J158"")"),0)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IFERROR(__xludf.DUMMYFUNCTION("IMPORTRANGE(""https://docs.google.com/spreadsheets/d/1SX6NBoVAgQJ6U1MVXOaj8PK2l7WJ3RER9xtqwdhxkhw/edit?usp=sharing"",""ราชบุรี!J159"")"),"")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IFERROR(__xludf.DUMMYFUNCTION("IMPORTRANGE(""https://docs.google.com/spreadsheets/d/1SX6NBoVAgQJ6U1MVXOaj8PK2l7WJ3RER9xtqwdhxkhw/edit?usp=sharing"",""ราชบุรี!J161"")"),0)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IFERROR(__xludf.DUMMYFUNCTION("IMPORTRANGE(""https://docs.google.com/spreadsheets/d/1SX6NBoVAgQJ6U1MVXOaj8PK2l7WJ3RER9xtqwdhxkhw/edit?usp=sharing"",""ราชบุรี!J162"")"),0)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IFERROR(__xludf.DUMMYFUNCTION("IMPORTRANGE(""https://docs.google.com/spreadsheets/d/1SX6NBoVAgQJ6U1MVXOaj8PK2l7WJ3RER9xtqwdhxkhw/edit?usp=sharing"",""ราชบุรี!J163"")"),0)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IFERROR(__xludf.DUMMYFUNCTION("IMPORTRANGE(""https://docs.google.com/spreadsheets/d/1SX6NBoVAgQJ6U1MVXOaj8PK2l7WJ3RER9xtqwdhxkhw/edit?usp=sharing"",""ราชบุรี!I164"")"),0)</f>
        <v>0</v>
      </c>
      <c r="J244" s="188">
        <f ca="1">IFERROR(__xludf.DUMMYFUNCTION("IMPORTRANGE(""https://docs.google.com/spreadsheets/d/1SX6NBoVAgQJ6U1MVXOaj8PK2l7WJ3RER9xtqwdhxkhw/edit?usp=sharing"",""ราชบุรี!J164"")"),0)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IFERROR(__xludf.DUMMYFUNCTION("IMPORTRANGE(""https://docs.google.com/spreadsheets/d/1SX6NBoVAgQJ6U1MVXOaj8PK2l7WJ3RER9xtqwdhxkhw/edit?usp=sharing"",""ราชบุรี!J165"")"),0)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IFERROR(__xludf.DUMMYFUNCTION("IMPORTRANGE(""https://docs.google.com/spreadsheets/d/1SX6NBoVAgQJ6U1MVXOaj8PK2l7WJ3RER9xtqwdhxkhw/edit?usp=sharing"",""ราชบุรี!J166"")"),0)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IFERROR(__xludf.DUMMYFUNCTION("IMPORTRANGE(""https://docs.google.com/spreadsheets/d/1SX6NBoVAgQJ6U1MVXOaj8PK2l7WJ3RER9xtqwdhxkhw/edit?usp=sharing"",""ราชบุรี!I169"")"),0)</f>
        <v>0</v>
      </c>
      <c r="J249" s="317">
        <f ca="1">IFERROR(__xludf.DUMMYFUNCTION("IMPORTRANGE(""https://docs.google.com/spreadsheets/d/1SX6NBoVAgQJ6U1MVXOaj8PK2l7WJ3RER9xtqwdhxkhw/edit?usp=sharing"",""ราชบุรี!J169"")"),0)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IFERROR(__xludf.DUMMYFUNCTION("IMPORTRANGE(""https://docs.google.com/spreadsheets/d/1Yj_ptqi66GCucihVvJfMjLAmec39IyEx_6qawtMGysU/edit?usp=sharing"",""สบก!CB73"")"),0)</f>
        <v>0</v>
      </c>
      <c r="N254" s="169">
        <f ca="1">IFERROR(__xludf.DUMMYFUNCTION("IMPORTRANGE(""https://docs.google.com/spreadsheets/d/1Yj_ptqi66GCucihVvJfMjLAmec39IyEx_6qawtMGysU/edit?usp=sharing"",""สบก!CC73"")"),0)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IFERROR(__xludf.DUMMYFUNCTION("IMPORTRANGE(""https://docs.google.com/spreadsheets/d/1Yj_ptqi66GCucihVvJfMjLAmec39IyEx_6qawtMGysU/edit?usp=sharing"",""สบก!BY73"")"),0)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IFERROR(__xludf.DUMMYFUNCTION("IMPORTRANGE(""https://docs.google.com/spreadsheets/d/1SX6NBoVAgQJ6U1MVXOaj8PK2l7WJ3RER9xtqwdhxkhw/edit?usp=sharing"",""ราชบุรี!J175"")"),0)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IFERROR(__xludf.DUMMYFUNCTION("IMPORTRANGE(""https://docs.google.com/spreadsheets/d/1SX6NBoVAgQJ6U1MVXOaj8PK2l7WJ3RER9xtqwdhxkhw/edit?usp=sharing"",""ราชบุรี!J176"")"),0)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IFERROR(__xludf.DUMMYFUNCTION("IMPORTRANGE(""https://docs.google.com/spreadsheets/d/1SX6NBoVAgQJ6U1MVXOaj8PK2l7WJ3RER9xtqwdhxkhw/edit?usp=sharing"",""ราชบุรี!J177"")"),0)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IFERROR(__xludf.DUMMYFUNCTION("IMPORTRANGE(""https://docs.google.com/spreadsheets/d/1SX6NBoVAgQJ6U1MVXOaj8PK2l7WJ3RER9xtqwdhxkhw/edit?usp=sharing"",""ราชบุรี!J178"")"),0)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IFERROR(__xludf.DUMMYFUNCTION("IMPORTRANGE(""https://docs.google.com/spreadsheets/d/1SX6NBoVAgQJ6U1MVXOaj8PK2l7WJ3RER9xtqwdhxkhw/edit?usp=sharing"",""ราชบุรี!I179"")"),0)</f>
        <v>0</v>
      </c>
      <c r="J264" s="189">
        <f ca="1">IFERROR(__xludf.DUMMYFUNCTION("IMPORTRANGE(""https://docs.google.com/spreadsheets/d/1SX6NBoVAgQJ6U1MVXOaj8PK2l7WJ3RER9xtqwdhxkhw/edit?usp=sharing"",""ราชบุรี!J179"")"),0)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IFERROR(__xludf.DUMMYFUNCTION("IMPORTRANGE(""https://docs.google.com/spreadsheets/d/1SX6NBoVAgQJ6U1MVXOaj8PK2l7WJ3RER9xtqwdhxkhw/edit?usp=sharing"",""ราชบุรี!I180"")"),0)</f>
        <v>0</v>
      </c>
      <c r="J265" s="189">
        <f ca="1">IFERROR(__xludf.DUMMYFUNCTION("IMPORTRANGE(""https://docs.google.com/spreadsheets/d/1SX6NBoVAgQJ6U1MVXOaj8PK2l7WJ3RER9xtqwdhxkhw/edit?usp=sharing"",""ราชบุรี!J180"")"),0)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IFERROR(__xludf.DUMMYFUNCTION("IMPORTRANGE(""https://docs.google.com/spreadsheets/d/1SX6NBoVAgQJ6U1MVXOaj8PK2l7WJ3RER9xtqwdhxkhw/edit?usp=sharing"",""ราชบุรี!I181"")"),0)</f>
        <v>0</v>
      </c>
      <c r="J266" s="189">
        <f ca="1">IFERROR(__xludf.DUMMYFUNCTION("IMPORTRANGE(""https://docs.google.com/spreadsheets/d/1SX6NBoVAgQJ6U1MVXOaj8PK2l7WJ3RER9xtqwdhxkhw/edit?usp=sharing"",""ราชบุรี!J181"")"),0)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IFERROR(__xludf.DUMMYFUNCTION("IMPORTRANGE(""https://docs.google.com/spreadsheets/d/1SX6NBoVAgQJ6U1MVXOaj8PK2l7WJ3RER9xtqwdhxkhw/edit?usp=sharing"",""ราชบุรี!I182"")"),0)</f>
        <v>0</v>
      </c>
      <c r="J267" s="189">
        <f ca="1">IFERROR(__xludf.DUMMYFUNCTION("IMPORTRANGE(""https://docs.google.com/spreadsheets/d/1SX6NBoVAgQJ6U1MVXOaj8PK2l7WJ3RER9xtqwdhxkhw/edit?usp=sharing"",""ราชบุรี!J182"")"),0)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IFERROR(__xludf.DUMMYFUNCTION("IMPORTRANGE(""https://docs.google.com/spreadsheets/d/1SX6NBoVAgQJ6U1MVXOaj8PK2l7WJ3RER9xtqwdhxkhw/edit?usp=sharing"",""ราชบุรี!J183"")"),0)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IFERROR(__xludf.DUMMYFUNCTION("IMPORTRANGE(""https://docs.google.com/spreadsheets/d/1SX6NBoVAgQJ6U1MVXOaj8PK2l7WJ3RER9xtqwdhxkhw/edit?usp=sharing"",""ราชบุรี!J184"")"),0)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IFERROR(__xludf.DUMMYFUNCTION("IMPORTRANGE(""https://docs.google.com/spreadsheets/d/1SX6NBoVAgQJ6U1MVXOaj8PK2l7WJ3RER9xtqwdhxkhw/edit?usp=sharing"",""ราชบุรี!I185"")"),15)</f>
        <v>15</v>
      </c>
      <c r="J270" s="317">
        <f ca="1">IFERROR(__xludf.DUMMYFUNCTION("IMPORTRANGE(""https://docs.google.com/spreadsheets/d/1SX6NBoVAgQJ6U1MVXOaj8PK2l7WJ3RER9xtqwdhxkhw/edit?usp=sharing"",""ราชบุรี!J185"")"),15)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131250</v>
      </c>
      <c r="N271" s="152">
        <f t="shared" ca="1" si="83"/>
        <v>105307.16</v>
      </c>
      <c r="O271" s="151">
        <f t="shared" ref="O271:O273" ca="1" si="84">IF(L271&gt;0,N271*100/L271,0)</f>
        <v>56.253824786324785</v>
      </c>
      <c r="P271" s="151">
        <f t="shared" ref="P271:P273" ca="1" si="85">IF(M271&gt;0,N271*100/M271,0)</f>
        <v>80.234026666666665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187200</v>
      </c>
      <c r="M273" s="157">
        <f t="shared" ca="1" si="87"/>
        <v>131250</v>
      </c>
      <c r="N273" s="157">
        <f t="shared" ca="1" si="87"/>
        <v>105307.16</v>
      </c>
      <c r="O273" s="156">
        <f t="shared" ca="1" si="84"/>
        <v>56.253824786324785</v>
      </c>
      <c r="P273" s="156">
        <f t="shared" ca="1" si="85"/>
        <v>80.234026666666665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187200</v>
      </c>
      <c r="M275" s="168">
        <f ca="1">IFERROR(__xludf.DUMMYFUNCTION("IMPORTRANGE(""https://docs.google.com/spreadsheets/d/1Yj_ptqi66GCucihVvJfMjLAmec39IyEx_6qawtMGysU/edit?usp=sharing"",""สบก!CK73"")"),131250)</f>
        <v>131250</v>
      </c>
      <c r="N275" s="169">
        <f ca="1">IFERROR(__xludf.DUMMYFUNCTION("IMPORTRANGE(""https://docs.google.com/spreadsheets/d/1Yj_ptqi66GCucihVvJfMjLAmec39IyEx_6qawtMGysU/edit?usp=sharing"",""สบก!CL73"")"),105307.16)</f>
        <v>105307.16</v>
      </c>
      <c r="O275" s="169">
        <f ca="1">IF(L275&gt;0,N275*100/L275,0)</f>
        <v>56.253824786324785</v>
      </c>
      <c r="P275" s="169">
        <f ca="1">IF(M275&gt;0,N275*100/M275,0)</f>
        <v>80.234026666666665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IFERROR(__xludf.DUMMYFUNCTION("IMPORTRANGE(""https://docs.google.com/spreadsheets/d/1Yj_ptqi66GCucihVvJfMjLAmec39IyEx_6qawtMGysU/edit?usp=sharing"",""สบก!CG73"")"),132000)</f>
        <v>132000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IFERROR(__xludf.DUMMYFUNCTION("IMPORTRANGE(""https://docs.google.com/spreadsheets/d/1Yj_ptqi66GCucihVvJfMjLAmec39IyEx_6qawtMGysU/edit?usp=sharing"",""สบก!CH73"")"),55200)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IFERROR(__xludf.DUMMYFUNCTION("IMPORTRANGE(""https://docs.google.com/spreadsheets/d/1SX6NBoVAgQJ6U1MVXOaj8PK2l7WJ3RER9xtqwdhxkhw/edit?usp=sharing"",""ราชบุรี!J191"")"),0)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IFERROR(__xludf.DUMMYFUNCTION("IMPORTRANGE(""https://docs.google.com/spreadsheets/d/1SX6NBoVAgQJ6U1MVXOaj8PK2l7WJ3RER9xtqwdhxkhw/edit?usp=sharing"",""ราชบุรี!J192"")"),1)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IFERROR(__xludf.DUMMYFUNCTION("IMPORTRANGE(""https://docs.google.com/spreadsheets/d/1SX6NBoVAgQJ6U1MVXOaj8PK2l7WJ3RER9xtqwdhxkhw/edit?usp=sharing"",""ราชบุรี!J193"")"),1)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IFERROR(__xludf.DUMMYFUNCTION("IMPORTRANGE(""https://docs.google.com/spreadsheets/d/1SX6NBoVAgQJ6U1MVXOaj8PK2l7WJ3RER9xtqwdhxkhw/edit?usp=sharing"",""ราชบุรี!J194"")"),1)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IFERROR(__xludf.DUMMYFUNCTION("IMPORTRANGE(""https://docs.google.com/spreadsheets/d/1SX6NBoVAgQJ6U1MVXOaj8PK2l7WJ3RER9xtqwdhxkhw/edit?usp=sharing"",""ราชบุรี!I195"")"),15)</f>
        <v>15</v>
      </c>
      <c r="J285" s="189">
        <f ca="1">IFERROR(__xludf.DUMMYFUNCTION("IMPORTRANGE(""https://docs.google.com/spreadsheets/d/1SX6NBoVAgQJ6U1MVXOaj8PK2l7WJ3RER9xtqwdhxkhw/edit?usp=sharing"",""ราชบุรี!J195"")"),15)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IFERROR(__xludf.DUMMYFUNCTION("IMPORTRANGE(""https://docs.google.com/spreadsheets/d/1SX6NBoVAgQJ6U1MVXOaj8PK2l7WJ3RER9xtqwdhxkhw/edit?usp=sharing"",""ราชบุรี!J196"")"),0)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IFERROR(__xludf.DUMMYFUNCTION("IMPORTRANGE(""https://docs.google.com/spreadsheets/d/1SX6NBoVAgQJ6U1MVXOaj8PK2l7WJ3RER9xtqwdhxkhw/edit?usp=sharing"",""ราชบุรี!J197"")"),0)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IFERROR(__xludf.DUMMYFUNCTION("IMPORTRANGE(""https://docs.google.com/spreadsheets/d/1SX6NBoVAgQJ6U1MVXOaj8PK2l7WJ3RER9xtqwdhxkhw/edit?usp=sharing"",""ราชบุรี!I199"")"),0)</f>
        <v>0</v>
      </c>
      <c r="J289" s="317">
        <f ca="1">IFERROR(__xludf.DUMMYFUNCTION("IMPORTRANGE(""https://docs.google.com/spreadsheets/d/1SX6NBoVAgQJ6U1MVXOaj8PK2l7WJ3RER9xtqwdhxkhw/edit?usp=sharing"",""ราชบุรี!J199"")"),0)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IFERROR(__xludf.DUMMYFUNCTION("IMPORTRANGE(""https://docs.google.com/spreadsheets/d/1Yj_ptqi66GCucihVvJfMjLAmec39IyEx_6qawtMGysU/edit?usp=sharing"",""สบก!CT73"")"),0)</f>
        <v>0</v>
      </c>
      <c r="N294" s="169">
        <f ca="1">IFERROR(__xludf.DUMMYFUNCTION("IMPORTRANGE(""https://docs.google.com/spreadsheets/d/1Yj_ptqi66GCucihVvJfMjLAmec39IyEx_6qawtMGysU/edit?usp=sharing"",""สบก!CU73"")"),0)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IFERROR(__xludf.DUMMYFUNCTION("IMPORTRANGE(""https://docs.google.com/spreadsheets/d/1SX6NBoVAgQJ6U1MVXOaj8PK2l7WJ3RER9xtqwdhxkhw/edit?usp=sharing"",""ราชบุรี!J205"")"),0)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IFERROR(__xludf.DUMMYFUNCTION("IMPORTRANGE(""https://docs.google.com/spreadsheets/d/1SX6NBoVAgQJ6U1MVXOaj8PK2l7WJ3RER9xtqwdhxkhw/edit?usp=sharing"",""ราชบุรี!J206"")"),0)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IFERROR(__xludf.DUMMYFUNCTION("IMPORTRANGE(""https://docs.google.com/spreadsheets/d/1SX6NBoVAgQJ6U1MVXOaj8PK2l7WJ3RER9xtqwdhxkhw/edit?usp=sharing"",""ราชบุรี!J207"")"),0)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IFERROR(__xludf.DUMMYFUNCTION("IMPORTRANGE(""https://docs.google.com/spreadsheets/d/1SX6NBoVAgQJ6U1MVXOaj8PK2l7WJ3RER9xtqwdhxkhw/edit?usp=sharing"",""ราชบุรี!J208"")"),0)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IFERROR(__xludf.DUMMYFUNCTION("IMPORTRANGE(""https://docs.google.com/spreadsheets/d/1SX6NBoVAgQJ6U1MVXOaj8PK2l7WJ3RER9xtqwdhxkhw/edit?usp=sharing"",""ราชบุรี!I209"")"),0)</f>
        <v>0</v>
      </c>
      <c r="J304" s="204">
        <f ca="1">IFERROR(__xludf.DUMMYFUNCTION("IMPORTRANGE(""https://docs.google.com/spreadsheets/d/1SX6NBoVAgQJ6U1MVXOaj8PK2l7WJ3RER9xtqwdhxkhw/edit?usp=sharing"",""ราชบุรี!J209"")"),0)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IFERROR(__xludf.DUMMYFUNCTION("IMPORTRANGE(""https://docs.google.com/spreadsheets/d/1SX6NBoVAgQJ6U1MVXOaj8PK2l7WJ3RER9xtqwdhxkhw/edit?usp=sharing"",""ราชบุรี!I211"")"),0)</f>
        <v>0</v>
      </c>
      <c r="J306" s="204">
        <f ca="1">IFERROR(__xludf.DUMMYFUNCTION("IMPORTRANGE(""https://docs.google.com/spreadsheets/d/1SX6NBoVAgQJ6U1MVXOaj8PK2l7WJ3RER9xtqwdhxkhw/edit?usp=sharing"",""ราชบุรี!J211"")"),0)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IFERROR(__xludf.DUMMYFUNCTION("IMPORTRANGE(""https://docs.google.com/spreadsheets/d/1SX6NBoVAgQJ6U1MVXOaj8PK2l7WJ3RER9xtqwdhxkhw/edit?usp=sharing"",""ราชบุรี!J212"")"),0)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IFERROR(__xludf.DUMMYFUNCTION("IMPORTRANGE(""https://docs.google.com/spreadsheets/d/1SX6NBoVAgQJ6U1MVXOaj8PK2l7WJ3RER9xtqwdhxkhw/edit?usp=sharing"",""ราชบุรี!J213"")"),0)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IFERROR(__xludf.DUMMYFUNCTION("IMPORTRANGE(""https://docs.google.com/spreadsheets/d/1SX6NBoVAgQJ6U1MVXOaj8PK2l7WJ3RER9xtqwdhxkhw/edit?usp=sharing"",""ราชบุรี!I214"")"),0)</f>
        <v>0</v>
      </c>
      <c r="J309" s="334">
        <f ca="1">IFERROR(__xludf.DUMMYFUNCTION("IMPORTRANGE(""https://docs.google.com/spreadsheets/d/1SX6NBoVAgQJ6U1MVXOaj8PK2l7WJ3RER9xtqwdhxkhw/edit?usp=sharing"",""ราชบุรี!J214"")"),0)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IFERROR(__xludf.DUMMYFUNCTION("IMPORTRANGE(""https://docs.google.com/spreadsheets/d/1Yj_ptqi66GCucihVvJfMjLAmec39IyEx_6qawtMGysU/edit?usp=sharing"",""สบก!DC73"")"),0)</f>
        <v>0</v>
      </c>
      <c r="N314" s="169">
        <f ca="1">IFERROR(__xludf.DUMMYFUNCTION("IMPORTRANGE(""https://docs.google.com/spreadsheets/d/1Yj_ptqi66GCucihVvJfMjLAmec39IyEx_6qawtMGysU/edit?usp=sharing"",""สบก!DD73"")"),0)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IFERROR(__xludf.DUMMYFUNCTION("IMPORTRANGE(""https://docs.google.com/spreadsheets/d/1SX6NBoVAgQJ6U1MVXOaj8PK2l7WJ3RER9xtqwdhxkhw/edit?usp=sharing"",""ราชบุรี!J220"")"),0)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IFERROR(__xludf.DUMMYFUNCTION("IMPORTRANGE(""https://docs.google.com/spreadsheets/d/1SX6NBoVAgQJ6U1MVXOaj8PK2l7WJ3RER9xtqwdhxkhw/edit?usp=sharing"",""ราชบุรี!J221"")"),0)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IFERROR(__xludf.DUMMYFUNCTION("IMPORTRANGE(""https://docs.google.com/spreadsheets/d/1SX6NBoVAgQJ6U1MVXOaj8PK2l7WJ3RER9xtqwdhxkhw/edit?usp=sharing"",""ราชบุรี!J222"")"),0)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IFERROR(__xludf.DUMMYFUNCTION("IMPORTRANGE(""https://docs.google.com/spreadsheets/d/1SX6NBoVAgQJ6U1MVXOaj8PK2l7WJ3RER9xtqwdhxkhw/edit?usp=sharing"",""ราชบุรี!J223"")"),0)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IFERROR(__xludf.DUMMYFUNCTION("IMPORTRANGE(""https://docs.google.com/spreadsheets/d/1SX6NBoVAgQJ6U1MVXOaj8PK2l7WJ3RER9xtqwdhxkhw/edit?usp=sharing"",""ราชบุรี!I224"")"),0)</f>
        <v>0</v>
      </c>
      <c r="J324" s="204">
        <f ca="1">IFERROR(__xludf.DUMMYFUNCTION("IMPORTRANGE(""https://docs.google.com/spreadsheets/d/1SX6NBoVAgQJ6U1MVXOaj8PK2l7WJ3RER9xtqwdhxkhw/edit?usp=sharing"",""ราชบุรี!J224"")"),0)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IFERROR(__xludf.DUMMYFUNCTION("IMPORTRANGE(""https://docs.google.com/spreadsheets/d/1SX6NBoVAgQJ6U1MVXOaj8PK2l7WJ3RER9xtqwdhxkhw/edit?usp=sharing"",""ราชบุรี!J225"")"),0)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IFERROR(__xludf.DUMMYFUNCTION("IMPORTRANGE(""https://docs.google.com/spreadsheets/d/1SX6NBoVAgQJ6U1MVXOaj8PK2l7WJ3RER9xtqwdhxkhw/edit?usp=sharing"",""ราชบุรี!J226"")"),0)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IFERROR(__xludf.DUMMYFUNCTION("IMPORTRANGE(""https://docs.google.com/spreadsheets/d/1SX6NBoVAgQJ6U1MVXOaj8PK2l7WJ3RER9xtqwdhxkhw/edit?usp=sharing"",""ราชบุรี!I228"")"),340)</f>
        <v>340</v>
      </c>
      <c r="J328" s="340">
        <f ca="1">IFERROR(__xludf.DUMMYFUNCTION("IMPORTRANGE(""https://docs.google.com/spreadsheets/d/1SX6NBoVAgQJ6U1MVXOaj8PK2l7WJ3RER9xtqwdhxkhw/edit?usp=sharing"",""ราชบุรี!J228"")"),57)</f>
        <v>57</v>
      </c>
      <c r="K328" s="318">
        <f ca="1">IF(I328&gt;0,J328*100/I328,0)</f>
        <v>16.764705882352942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1009800</v>
      </c>
      <c r="M329" s="152">
        <f t="shared" ca="1" si="98"/>
        <v>752380</v>
      </c>
      <c r="N329" s="152">
        <f t="shared" ca="1" si="98"/>
        <v>643852.37</v>
      </c>
      <c r="O329" s="151">
        <f t="shared" ref="O329:O331" ca="1" si="99">IF(L329&gt;0,N329*100/L329,0)</f>
        <v>63.760385224796991</v>
      </c>
      <c r="P329" s="151">
        <f t="shared" ref="P329:P331" ca="1" si="100">IF(M329&gt;0,N329*100/M329,0)</f>
        <v>85.575423323320663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1009800</v>
      </c>
      <c r="M331" s="157">
        <f t="shared" ca="1" si="102"/>
        <v>752380</v>
      </c>
      <c r="N331" s="157">
        <f t="shared" ca="1" si="102"/>
        <v>643852.37</v>
      </c>
      <c r="O331" s="156">
        <f t="shared" ca="1" si="99"/>
        <v>63.760385224796991</v>
      </c>
      <c r="P331" s="156">
        <f t="shared" ca="1" si="100"/>
        <v>85.575423323320663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975300</v>
      </c>
      <c r="M333" s="168">
        <f ca="1">IFERROR(__xludf.DUMMYFUNCTION("IMPORTRANGE(""https://docs.google.com/spreadsheets/d/1Yj_ptqi66GCucihVvJfMjLAmec39IyEx_6qawtMGysU/edit?usp=sharing"",""สบก!DL73"")"),717880)</f>
        <v>717880</v>
      </c>
      <c r="N333" s="169">
        <f ca="1">IFERROR(__xludf.DUMMYFUNCTION("IMPORTRANGE(""https://docs.google.com/spreadsheets/d/1Yj_ptqi66GCucihVvJfMjLAmec39IyEx_6qawtMGysU/edit?usp=sharing"",""สบก!DM73"")"),609352.37)</f>
        <v>609352.37</v>
      </c>
      <c r="O333" s="169">
        <f ca="1">IF(L333&gt;0,N333*100/L333,0)</f>
        <v>62.478454834409924</v>
      </c>
      <c r="P333" s="169">
        <f ca="1">IF(M333&gt;0,N333*100/M333,0)</f>
        <v>84.882204546720899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IFERROR(__xludf.DUMMYFUNCTION("IMPORTRANGE(""https://docs.google.com/spreadsheets/d/1Yj_ptqi66GCucihVvJfMjLAmec39IyEx_6qawtMGysU/edit?usp=sharing"",""สบก!DH73"")"),564000)</f>
        <v>564000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IFERROR(__xludf.DUMMYFUNCTION("IMPORTRANGE(""https://docs.google.com/spreadsheets/d/1Yj_ptqi66GCucihVvJfMjLAmec39IyEx_6qawtMGysU/edit?usp=sharing"",""สบก!DI73"")"),411300)</f>
        <v>411300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IFERROR(__xludf.DUMMYFUNCTION("IMPORTRANGE(""https://docs.google.com/spreadsheets/d/1SX6NBoVAgQJ6U1MVXOaj8PK2l7WJ3RER9xtqwdhxkhw/edit?usp=sharing"",""ราชบุรี!I234"")"),0)</f>
        <v>0</v>
      </c>
      <c r="J339" s="188">
        <f ca="1">IFERROR(__xludf.DUMMYFUNCTION("IMPORTRANGE(""https://docs.google.com/spreadsheets/d/1SX6NBoVAgQJ6U1MVXOaj8PK2l7WJ3RER9xtqwdhxkhw/edit?usp=sharing"",""ราชบุรี!J234"")"),70)</f>
        <v>70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IFERROR(__xludf.DUMMYFUNCTION("IMPORTRANGE(""https://docs.google.com/spreadsheets/d/1SX6NBoVAgQJ6U1MVXOaj8PK2l7WJ3RER9xtqwdhxkhw/edit?usp=sharing"",""ราชบุรี!I235"")"),2600)</f>
        <v>2600</v>
      </c>
      <c r="J340" s="188">
        <f ca="1">IFERROR(__xludf.DUMMYFUNCTION("IMPORTRANGE(""https://docs.google.com/spreadsheets/d/1SX6NBoVAgQJ6U1MVXOaj8PK2l7WJ3RER9xtqwdhxkhw/edit?usp=sharing"",""ราชบุรี!J235"")"),960.41)</f>
        <v>960.41</v>
      </c>
      <c r="K340" s="343">
        <f t="shared" ca="1" si="103"/>
        <v>36.938846153846157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IFERROR(__xludf.DUMMYFUNCTION("IMPORTRANGE(""https://docs.google.com/spreadsheets/d/1SX6NBoVAgQJ6U1MVXOaj8PK2l7WJ3RER9xtqwdhxkhw/edit?usp=sharing"",""ราชบุรี!I236"")"),340)</f>
        <v>340</v>
      </c>
      <c r="J341" s="188">
        <f ca="1">IFERROR(__xludf.DUMMYFUNCTION("IMPORTRANGE(""https://docs.google.com/spreadsheets/d/1SX6NBoVAgQJ6U1MVXOaj8PK2l7WJ3RER9xtqwdhxkhw/edit?usp=sharing"",""ราชบุรี!J236"")"),63)</f>
        <v>63</v>
      </c>
      <c r="K341" s="343">
        <f t="shared" ca="1" si="103"/>
        <v>18.529411764705884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8">
        <f ca="1">IFERROR(__xludf.DUMMYFUNCTION("IMPORTRANGE(""https://docs.google.com/spreadsheets/d/1SX6NBoVAgQJ6U1MVXOaj8PK2l7WJ3RER9xtqwdhxkhw/edit?usp=sharing"",""ราชบุรี!J237"")"),546.63)</f>
        <v>546.63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IFERROR(__xludf.DUMMYFUNCTION("IMPORTRANGE(""https://docs.google.com/spreadsheets/d/1SX6NBoVAgQJ6U1MVXOaj8PK2l7WJ3RER9xtqwdhxkhw/edit?usp=sharing"",""ราชบุรี!I238"")"),340)</f>
        <v>340</v>
      </c>
      <c r="J343" s="188">
        <f ca="1">IFERROR(__xludf.DUMMYFUNCTION("IMPORTRANGE(""https://docs.google.com/spreadsheets/d/1SX6NBoVAgQJ6U1MVXOaj8PK2l7WJ3RER9xtqwdhxkhw/edit?usp=sharing"",""ราชบุรี!J238"")"),0)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8">
        <f ca="1">IFERROR(__xludf.DUMMYFUNCTION("IMPORTRANGE(""https://docs.google.com/spreadsheets/d/1SX6NBoVAgQJ6U1MVXOaj8PK2l7WJ3RER9xtqwdhxkhw/edit?usp=sharing"",""ราชบุรี!J239"")"),0)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IFERROR(__xludf.DUMMYFUNCTION("IMPORTRANGE(""https://docs.google.com/spreadsheets/d/1SX6NBoVAgQJ6U1MVXOaj8PK2l7WJ3RER9xtqwdhxkhw/edit?usp=sharing"",""ราชบุรี!I240"")"),340)</f>
        <v>340</v>
      </c>
      <c r="J345" s="188">
        <f ca="1">IFERROR(__xludf.DUMMYFUNCTION("IMPORTRANGE(""https://docs.google.com/spreadsheets/d/1SX6NBoVAgQJ6U1MVXOaj8PK2l7WJ3RER9xtqwdhxkhw/edit?usp=sharing"",""ราชบุรี!J240"")"),57)</f>
        <v>57</v>
      </c>
      <c r="K345" s="343">
        <f t="shared" ca="1" si="103"/>
        <v>16.764705882352942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8">
        <f ca="1">IFERROR(__xludf.DUMMYFUNCTION("IMPORTRANGE(""https://docs.google.com/spreadsheets/d/1SX6NBoVAgQJ6U1MVXOaj8PK2l7WJ3RER9xtqwdhxkhw/edit?usp=sharing"",""ราชบุรี!J241"")"),468.69)</f>
        <v>468.69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IFERROR(__xludf.DUMMYFUNCTION("IMPORTRANGE(""https://docs.google.com/spreadsheets/d/1SX6NBoVAgQJ6U1MVXOaj8PK2l7WJ3RER9xtqwdhxkhw/edit?usp=sharing"",""ราชบุรี!L242"")"),1596532)</f>
        <v>1596532</v>
      </c>
      <c r="M347" s="358"/>
      <c r="N347" s="358">
        <f ca="1">IFERROR(__xludf.DUMMYFUNCTION("IMPORTRANGE(""https://docs.google.com/spreadsheets/d/1SX6NBoVAgQJ6U1MVXOaj8PK2l7WJ3RER9xtqwdhxkhw/edit?usp=sharing"",""ราชบุรี!M242"")"),653015.75)</f>
        <v>653015.75</v>
      </c>
      <c r="O347" s="358">
        <f ca="1">+IF(L347&gt;0,N347*100/L347,0)</f>
        <v>40.902139762936166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IFERROR(__xludf.DUMMYFUNCTION("IMPORTRANGE(""https://docs.google.com/spreadsheets/d/1SX6NBoVAgQJ6U1MVXOaj8PK2l7WJ3RER9xtqwdhxkhw/edit?usp=sharing"",""ราชบุรี!L246"")"),0)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IFERROR(__xludf.DUMMYFUNCTION("IMPORTRANGE(""https://docs.google.com/spreadsheets/d/1SX6NBoVAgQJ6U1MVXOaj8PK2l7WJ3RER9xtqwdhxkhw/edit?usp=sharing"",""ราชบุรี!M246"")"),0)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IFERROR(__xludf.DUMMYFUNCTION("IMPORTRANGE(""https://docs.google.com/spreadsheets/d/1SX6NBoVAgQJ6U1MVXOaj8PK2l7WJ3RER9xtqwdhxkhw/edit?usp=sharing"",""ราชบุรี!L247"")"),0)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IFERROR(__xludf.DUMMYFUNCTION("IMPORTRANGE(""https://docs.google.com/spreadsheets/d/1SX6NBoVAgQJ6U1MVXOaj8PK2l7WJ3RER9xtqwdhxkhw/edit?usp=sharing"",""ราชบุรี!M247"")"),0)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IFERROR(__xludf.DUMMYFUNCTION("IMPORTRANGE(""https://docs.google.com/spreadsheets/d/1SX6NBoVAgQJ6U1MVXOaj8PK2l7WJ3RER9xtqwdhxkhw/edit?usp=sharing"",""ราชบุรี!L248"")"),0)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IFERROR(__xludf.DUMMYFUNCTION("IMPORTRANGE(""https://docs.google.com/spreadsheets/d/1SX6NBoVAgQJ6U1MVXOaj8PK2l7WJ3RER9xtqwdhxkhw/edit?usp=sharing"",""ราชบุรี!M248"")"),0)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IFERROR(__xludf.DUMMYFUNCTION("IMPORTRANGE(""https://docs.google.com/spreadsheets/d/1SX6NBoVAgQJ6U1MVXOaj8PK2l7WJ3RER9xtqwdhxkhw/edit?usp=sharing"",""ราชบุรี!L249"")"),0)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IFERROR(__xludf.DUMMYFUNCTION("IMPORTRANGE(""https://docs.google.com/spreadsheets/d/1SX6NBoVAgQJ6U1MVXOaj8PK2l7WJ3RER9xtqwdhxkhw/edit?usp=sharing"",""ราชบุรี!M249"")"),0)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IFERROR(__xludf.DUMMYFUNCTION("IMPORTRANGE(""https://docs.google.com/spreadsheets/d/1SX6NBoVAgQJ6U1MVXOaj8PK2l7WJ3RER9xtqwdhxkhw/edit?usp=sharing"",""ราชบุรี!J255"")"),0)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IFERROR(__xludf.DUMMYFUNCTION("IMPORTRANGE(""https://docs.google.com/spreadsheets/d/1SX6NBoVAgQJ6U1MVXOaj8PK2l7WJ3RER9xtqwdhxkhw/edit?usp=sharing"",""ราชบุรี!J256"")"),0)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IFERROR(__xludf.DUMMYFUNCTION("IMPORTRANGE(""https://docs.google.com/spreadsheets/d/1SX6NBoVAgQJ6U1MVXOaj8PK2l7WJ3RER9xtqwdhxkhw/edit?usp=sharing"",""ราชบุรี!J257"")"),0)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IFERROR(__xludf.DUMMYFUNCTION("IMPORTRANGE(""https://docs.google.com/spreadsheets/d/1SX6NBoVAgQJ6U1MVXOaj8PK2l7WJ3RER9xtqwdhxkhw/edit?usp=sharing"",""ราชบุรี!J258"")"),0)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IFERROR(__xludf.DUMMYFUNCTION("IMPORTRANGE(""https://docs.google.com/spreadsheets/d/1SX6NBoVAgQJ6U1MVXOaj8PK2l7WJ3RER9xtqwdhxkhw/edit?usp=sharing"",""ราชบุรี!J166"")"),0)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IFERROR(__xludf.DUMMYFUNCTION("IMPORTRANGE(""https://docs.google.com/spreadsheets/d/1SX6NBoVAgQJ6U1MVXOaj8PK2l7WJ3RER9xtqwdhxkhw/edit?usp=sharing"",""ราชบุรี!J166"")"),0)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IFERROR(__xludf.DUMMYFUNCTION("IMPORTRANGE(""https://docs.google.com/spreadsheets/d/1SX6NBoVAgQJ6U1MVXOaj8PK2l7WJ3RER9xtqwdhxkhw/edit?usp=sharing"",""ราชบุรี!J166"")"),0)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IFERROR(__xludf.DUMMYFUNCTION("IMPORTRANGE(""https://docs.google.com/spreadsheets/d/1SX6NBoVAgQJ6U1MVXOaj8PK2l7WJ3RER9xtqwdhxkhw/edit?usp=sharing"",""ราชบุรี!J166"")"),0)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IFERROR(__xludf.DUMMYFUNCTION("IMPORTRANGE(""https://docs.google.com/spreadsheets/d/1SX6NBoVAgQJ6U1MVXOaj8PK2l7WJ3RER9xtqwdhxkhw/edit?usp=sharing"",""ราชบุรี!I263"")"),0)</f>
        <v>0</v>
      </c>
      <c r="J368" s="188">
        <f ca="1">IFERROR(__xludf.DUMMYFUNCTION("IMPORTRANGE(""https://docs.google.com/spreadsheets/d/1SX6NBoVAgQJ6U1MVXOaj8PK2l7WJ3RER9xtqwdhxkhw/edit?usp=sharing"",""ราชบุรี!J263"")"),0)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IFERROR(__xludf.DUMMYFUNCTION("IMPORTRANGE(""https://docs.google.com/spreadsheets/d/1SX6NBoVAgQJ6U1MVXOaj8PK2l7WJ3RER9xtqwdhxkhw/edit?usp=sharing"",""ราชบุรี!I164"")"),0)</f>
        <v>0</v>
      </c>
      <c r="J369" s="204">
        <f ca="1">IFERROR(__xludf.DUMMYFUNCTION("IMPORTRANGE(""https://docs.google.com/spreadsheets/d/1SX6NBoVAgQJ6U1MVXOaj8PK2l7WJ3RER9xtqwdhxkhw/edit?usp=sharing"",""ราชบุรี!J164"")"),0)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IFERROR(__xludf.DUMMYFUNCTION("IMPORTRANGE(""https://docs.google.com/spreadsheets/d/1SX6NBoVAgQJ6U1MVXOaj8PK2l7WJ3RER9xtqwdhxkhw/edit?usp=sharing"",""ราชบุรี!I265"")"),0)</f>
        <v>0</v>
      </c>
      <c r="J370" s="204">
        <f ca="1">IFERROR(__xludf.DUMMYFUNCTION("IMPORTRANGE(""https://docs.google.com/spreadsheets/d/1SX6NBoVAgQJ6U1MVXOaj8PK2l7WJ3RER9xtqwdhxkhw/edit?usp=sharing"",""ราชบุรี!J265"")"),0)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IFERROR(__xludf.DUMMYFUNCTION("IMPORTRANGE(""https://docs.google.com/spreadsheets/d/1SX6NBoVAgQJ6U1MVXOaj8PK2l7WJ3RER9xtqwdhxkhw/edit?usp=sharing"",""ราชบุรี!I164"")"),0)</f>
        <v>0</v>
      </c>
      <c r="J371" s="189">
        <f ca="1">IFERROR(__xludf.DUMMYFUNCTION("IMPORTRANGE(""https://docs.google.com/spreadsheets/d/1SX6NBoVAgQJ6U1MVXOaj8PK2l7WJ3RER9xtqwdhxkhw/edit?usp=sharing"",""ราชบุรี!J164"")"),0)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IFERROR(__xludf.DUMMYFUNCTION("IMPORTRANGE(""https://docs.google.com/spreadsheets/d/1SX6NBoVAgQJ6U1MVXOaj8PK2l7WJ3RER9xtqwdhxkhw/edit?usp=sharing"",""ราชบุรี!I267"")"),0)</f>
        <v>0</v>
      </c>
      <c r="J372" s="189">
        <f ca="1">IFERROR(__xludf.DUMMYFUNCTION("IMPORTRANGE(""https://docs.google.com/spreadsheets/d/1SX6NBoVAgQJ6U1MVXOaj8PK2l7WJ3RER9xtqwdhxkhw/edit?usp=sharing"",""ราชบุรี!J267"")"),0)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IFERROR(__xludf.DUMMYFUNCTION("IMPORTRANGE(""https://docs.google.com/spreadsheets/d/1SX6NBoVAgQJ6U1MVXOaj8PK2l7WJ3RER9xtqwdhxkhw/edit?usp=sharing"",""ราชบุรี!I164"")"),0)</f>
        <v>0</v>
      </c>
      <c r="J373" s="204">
        <f ca="1">IFERROR(__xludf.DUMMYFUNCTION("IMPORTRANGE(""https://docs.google.com/spreadsheets/d/1SX6NBoVAgQJ6U1MVXOaj8PK2l7WJ3RER9xtqwdhxkhw/edit?usp=sharing"",""ราชบุรี!J164"")"),0)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IFERROR(__xludf.DUMMYFUNCTION("IMPORTRANGE(""https://docs.google.com/spreadsheets/d/1SX6NBoVAgQJ6U1MVXOaj8PK2l7WJ3RER9xtqwdhxkhw/edit?usp=sharing"",""ราชบุรี!I164"")"),0)</f>
        <v>0</v>
      </c>
      <c r="J374" s="188">
        <f ca="1">IFERROR(__xludf.DUMMYFUNCTION("IMPORTRANGE(""https://docs.google.com/spreadsheets/d/1SX6NBoVAgQJ6U1MVXOaj8PK2l7WJ3RER9xtqwdhxkhw/edit?usp=sharing"",""ราชบุรี!J164"")"),0)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IFERROR(__xludf.DUMMYFUNCTION("IMPORTRANGE(""https://docs.google.com/spreadsheets/d/1SX6NBoVAgQJ6U1MVXOaj8PK2l7WJ3RER9xtqwdhxkhw/edit?usp=sharing"",""ราชบุรี!I270"")"),0)</f>
        <v>0</v>
      </c>
      <c r="J375" s="188">
        <f ca="1">IFERROR(__xludf.DUMMYFUNCTION("IMPORTRANGE(""https://docs.google.com/spreadsheets/d/1SX6NBoVAgQJ6U1MVXOaj8PK2l7WJ3RER9xtqwdhxkhw/edit?usp=sharing"",""ราชบุรี!J270"")"),0)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IFERROR(__xludf.DUMMYFUNCTION("IMPORTRANGE(""https://docs.google.com/spreadsheets/d/1SX6NBoVAgQJ6U1MVXOaj8PK2l7WJ3RER9xtqwdhxkhw/edit?usp=sharing"",""ราชบุรี!I271"")"),0)</f>
        <v>0</v>
      </c>
      <c r="J376" s="189">
        <f ca="1">IFERROR(__xludf.DUMMYFUNCTION("IMPORTRANGE(""https://docs.google.com/spreadsheets/d/1SX6NBoVAgQJ6U1MVXOaj8PK2l7WJ3RER9xtqwdhxkhw/edit?usp=sharing"",""ราชบุรี!J271"")"),0)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IFERROR(__xludf.DUMMYFUNCTION("IMPORTRANGE(""https://docs.google.com/spreadsheets/d/1SX6NBoVAgQJ6U1MVXOaj8PK2l7WJ3RER9xtqwdhxkhw/edit?usp=sharing"",""ราชบุรี!I272"")"),0)</f>
        <v>0</v>
      </c>
      <c r="J377" s="204">
        <f ca="1">IFERROR(__xludf.DUMMYFUNCTION("IMPORTRANGE(""https://docs.google.com/spreadsheets/d/1SX6NBoVAgQJ6U1MVXOaj8PK2l7WJ3RER9xtqwdhxkhw/edit?usp=sharing"",""ราชบุรี!J272"")"),0)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IFERROR(__xludf.DUMMYFUNCTION("IMPORTRANGE(""https://docs.google.com/spreadsheets/d/1SX6NBoVAgQJ6U1MVXOaj8PK2l7WJ3RER9xtqwdhxkhw/edit?usp=sharing"",""ราชบุรี!J273"")"),0)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IFERROR(__xludf.DUMMYFUNCTION("IMPORTRANGE(""https://docs.google.com/spreadsheets/d/1SX6NBoVAgQJ6U1MVXOaj8PK2l7WJ3RER9xtqwdhxkhw/edit?usp=sharing"",""ราชบุรี!J274"")"),0)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IFERROR(__xludf.DUMMYFUNCTION("IMPORTRANGE(""https://docs.google.com/spreadsheets/d/1SX6NBoVAgQJ6U1MVXOaj8PK2l7WJ3RER9xtqwdhxkhw/edit?usp=sharing"",""ราชบุรี!M275"")"),273972.58)</f>
        <v>273972.58</v>
      </c>
      <c r="O380" s="373">
        <f ca="1">+IF(L380&gt;0,N380*100/L380,0)</f>
        <v>26.637554933302219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IFERROR(__xludf.DUMMYFUNCTION("IMPORTRANGE(""https://docs.google.com/spreadsheets/d/1SX6NBoVAgQJ6U1MVXOaj8PK2l7WJ3RER9xtqwdhxkhw/edit?usp=sharing"",""ราชบุรี!L277"")"),0)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IFERROR(__xludf.DUMMYFUNCTION("IMPORTRANGE(""https://docs.google.com/spreadsheets/d/1SX6NBoVAgQJ6U1MVXOaj8PK2l7WJ3RER9xtqwdhxkhw/edit?usp=sharing"",""ราชบุรี!M277"")"),0)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IFERROR(__xludf.DUMMYFUNCTION("IMPORTRANGE(""https://docs.google.com/spreadsheets/d/1SX6NBoVAgQJ6U1MVXOaj8PK2l7WJ3RER9xtqwdhxkhw/edit?usp=sharing"",""ราชบุรี!L278"")"),1028520)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IFERROR(__xludf.DUMMYFUNCTION("IMPORTRANGE(""https://docs.google.com/spreadsheets/d/1SX6NBoVAgQJ6U1MVXOaj8PK2l7WJ3RER9xtqwdhxkhw/edit?usp=sharing"",""ราชบุรี!M278"")"),273972.58)</f>
        <v>273972.58</v>
      </c>
      <c r="O383" s="165">
        <f t="shared" ca="1" si="109"/>
        <v>26.637554933302219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IFERROR(__xludf.DUMMYFUNCTION("IMPORTRANGE(""https://docs.google.com/spreadsheets/d/1SX6NBoVAgQJ6U1MVXOaj8PK2l7WJ3RER9xtqwdhxkhw/edit?usp=sharing"",""ราชบุรี!L279"")"),0)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IFERROR(__xludf.DUMMYFUNCTION("IMPORTRANGE(""https://docs.google.com/spreadsheets/d/1SX6NBoVAgQJ6U1MVXOaj8PK2l7WJ3RER9xtqwdhxkhw/edit?usp=sharing"",""ราชบุรี!M279"")"),0)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IFERROR(__xludf.DUMMYFUNCTION("IMPORTRANGE(""https://docs.google.com/spreadsheets/d/1SX6NBoVAgQJ6U1MVXOaj8PK2l7WJ3RER9xtqwdhxkhw/edit?usp=sharing"",""ราชบุรี!L280"")"),1028520)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IFERROR(__xludf.DUMMYFUNCTION("IMPORTRANGE(""https://docs.google.com/spreadsheets/d/1SX6NBoVAgQJ6U1MVXOaj8PK2l7WJ3RER9xtqwdhxkhw/edit?usp=sharing"",""ราชบุรี!M280"")"),273972.58)</f>
        <v>273972.58</v>
      </c>
      <c r="O385" s="169">
        <f t="shared" ca="1" si="109"/>
        <v>26.637554933302219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IFERROR(__xludf.DUMMYFUNCTION("IMPORTRANGE(""https://docs.google.com/spreadsheets/d/1SX6NBoVAgQJ6U1MVXOaj8PK2l7WJ3RER9xtqwdhxkhw/edit?usp=sharing"",""ราชบุรี!M281"")"),181110)</f>
        <v>181110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IFERROR(__xludf.DUMMYFUNCTION("IMPORTRANGE(""https://docs.google.com/spreadsheets/d/1SX6NBoVAgQJ6U1MVXOaj8PK2l7WJ3RER9xtqwdhxkhw/edit?usp=sharing"",""ราชบุรี!M282"")"),0)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IFERROR(__xludf.DUMMYFUNCTION("IMPORTRANGE(""https://docs.google.com/spreadsheets/d/1SX6NBoVAgQJ6U1MVXOaj8PK2l7WJ3RER9xtqwdhxkhw/edit?usp=sharing"",""ราชบุรี!M283"")"),68702.4)</f>
        <v>68702.399999999994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IFERROR(__xludf.DUMMYFUNCTION("IMPORTRANGE(""https://docs.google.com/spreadsheets/d/1SX6NBoVAgQJ6U1MVXOaj8PK2l7WJ3RER9xtqwdhxkhw/edit?usp=sharing"",""ราชบุรี!M284"")"),24160.18)</f>
        <v>24160.18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IFERROR(__xludf.DUMMYFUNCTION("IMPORTRANGE(""https://docs.google.com/spreadsheets/d/1SX6NBoVAgQJ6U1MVXOaj8PK2l7WJ3RER9xtqwdhxkhw/edit?usp=sharing"",""ราชบุรี!J286"")"),0)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IFERROR(__xludf.DUMMYFUNCTION("IMPORTRANGE(""https://docs.google.com/spreadsheets/d/1SX6NBoVAgQJ6U1MVXOaj8PK2l7WJ3RER9xtqwdhxkhw/edit?usp=sharing"",""ราชบุรี!J287"")"),1)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IFERROR(__xludf.DUMMYFUNCTION("IMPORTRANGE(""https://docs.google.com/spreadsheets/d/1SX6NBoVAgQJ6U1MVXOaj8PK2l7WJ3RER9xtqwdhxkhw/edit?usp=sharing"",""ราชบุรี!J288"")"),1)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IFERROR(__xludf.DUMMYFUNCTION("IMPORTRANGE(""https://docs.google.com/spreadsheets/d/1SX6NBoVAgQJ6U1MVXOaj8PK2l7WJ3RER9xtqwdhxkhw/edit?usp=sharing"",""ราชบุรี!J289"")"),1)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IFERROR(__xludf.DUMMYFUNCTION("IMPORTRANGE(""https://docs.google.com/spreadsheets/d/1SX6NBoVAgQJ6U1MVXOaj8PK2l7WJ3RER9xtqwdhxkhw/edit?usp=sharing"",""ราชบุรี!I291"")"),100)</f>
        <v>100</v>
      </c>
      <c r="J396" s="198">
        <f ca="1">IFERROR(__xludf.DUMMYFUNCTION("IMPORTRANGE(""https://docs.google.com/spreadsheets/d/1SX6NBoVAgQJ6U1MVXOaj8PK2l7WJ3RER9xtqwdhxkhw/edit?usp=sharing"",""ราชบุรี!J291"")"),100)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IFERROR(__xludf.DUMMYFUNCTION("IMPORTRANGE(""https://docs.google.com/spreadsheets/d/1SX6NBoVAgQJ6U1MVXOaj8PK2l7WJ3RER9xtqwdhxkhw/edit?usp=sharing"",""ราชบุรี!I292"")"),1000)</f>
        <v>1000</v>
      </c>
      <c r="J397" s="198">
        <f ca="1">IFERROR(__xludf.DUMMYFUNCTION("IMPORTRANGE(""https://docs.google.com/spreadsheets/d/1SX6NBoVAgQJ6U1MVXOaj8PK2l7WJ3RER9xtqwdhxkhw/edit?usp=sharing"",""ราชบุรี!J292"")"),0)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IFERROR(__xludf.DUMMYFUNCTION("IMPORTRANGE(""https://docs.google.com/spreadsheets/d/1SX6NBoVAgQJ6U1MVXOaj8PK2l7WJ3RER9xtqwdhxkhw/edit?usp=sharing"",""ราชบุรี!I293"")"),100)</f>
        <v>100</v>
      </c>
      <c r="J398" s="198">
        <f ca="1">IFERROR(__xludf.DUMMYFUNCTION("IMPORTRANGE(""https://docs.google.com/spreadsheets/d/1SX6NBoVAgQJ6U1MVXOaj8PK2l7WJ3RER9xtqwdhxkhw/edit?usp=sharing"",""ราชบุรี!J293"")"),0)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IFERROR(__xludf.DUMMYFUNCTION("IMPORTRANGE(""https://docs.google.com/spreadsheets/d/1SX6NBoVAgQJ6U1MVXOaj8PK2l7WJ3RER9xtqwdhxkhw/edit?usp=sharing"",""ราชบุรี!J294"")"),0)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IFERROR(__xludf.DUMMYFUNCTION("IMPORTRANGE(""https://docs.google.com/spreadsheets/d/1SX6NBoVAgQJ6U1MVXOaj8PK2l7WJ3RER9xtqwdhxkhw/edit?usp=sharing"",""ราชบุรี!J295"")"),0)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IFERROR(__xludf.DUMMYFUNCTION("IMPORTRANGE(""https://docs.google.com/spreadsheets/d/1SX6NBoVAgQJ6U1MVXOaj8PK2l7WJ3RER9xtqwdhxkhw/edit?usp=sharing"",""ราชบุรี!M296"")"),165074.68)</f>
        <v>165074.68</v>
      </c>
      <c r="O401" s="373">
        <f ca="1">+IF(L401&gt;0,N401*100/L401,0)</f>
        <v>72.871001633337741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IFERROR(__xludf.DUMMYFUNCTION("IMPORTRANGE(""https://docs.google.com/spreadsheets/d/1SX6NBoVAgQJ6U1MVXOaj8PK2l7WJ3RER9xtqwdhxkhw/edit?usp=sharing"",""ราชบุรี!L298"")"),0)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IFERROR(__xludf.DUMMYFUNCTION("IMPORTRANGE(""https://docs.google.com/spreadsheets/d/1SX6NBoVAgQJ6U1MVXOaj8PK2l7WJ3RER9xtqwdhxkhw/edit?usp=sharing"",""ราชบุรี!M298"")"),0)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IFERROR(__xludf.DUMMYFUNCTION("IMPORTRANGE(""https://docs.google.com/spreadsheets/d/1SX6NBoVAgQJ6U1MVXOaj8PK2l7WJ3RER9xtqwdhxkhw/edit?usp=sharing"",""ราชบุรี!L299"")"),226530)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IFERROR(__xludf.DUMMYFUNCTION("IMPORTRANGE(""https://docs.google.com/spreadsheets/d/1SX6NBoVAgQJ6U1MVXOaj8PK2l7WJ3RER9xtqwdhxkhw/edit?usp=sharing"",""ราชบุรี!M299"")"),165074.68)</f>
        <v>165074.68</v>
      </c>
      <c r="O404" s="169">
        <f t="shared" ca="1" si="112"/>
        <v>72.871001633337741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IFERROR(__xludf.DUMMYFUNCTION("IMPORTRANGE(""https://docs.google.com/spreadsheets/d/1SX6NBoVAgQJ6U1MVXOaj8PK2l7WJ3RER9xtqwdhxkhw/edit?usp=sharing"",""ราชบุรี!L300"")"),0)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IFERROR(__xludf.DUMMYFUNCTION("IMPORTRANGE(""https://docs.google.com/spreadsheets/d/1SX6NBoVAgQJ6U1MVXOaj8PK2l7WJ3RER9xtqwdhxkhw/edit?usp=sharing"",""ราชบุรี!M300"")"),0)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IFERROR(__xludf.DUMMYFUNCTION("IMPORTRANGE(""https://docs.google.com/spreadsheets/d/1SX6NBoVAgQJ6U1MVXOaj8PK2l7WJ3RER9xtqwdhxkhw/edit?usp=sharing"",""ราชบุรี!L301"")"),226530)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IFERROR(__xludf.DUMMYFUNCTION("IMPORTRANGE(""https://docs.google.com/spreadsheets/d/1SX6NBoVAgQJ6U1MVXOaj8PK2l7WJ3RER9xtqwdhxkhw/edit?usp=sharing"",""ราชบุรี!M301"")"),165074.68)</f>
        <v>165074.68</v>
      </c>
      <c r="O406" s="169">
        <f t="shared" ca="1" si="112"/>
        <v>72.871001633337741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IFERROR(__xludf.DUMMYFUNCTION("IMPORTRANGE(""https://docs.google.com/spreadsheets/d/1SX6NBoVAgQJ6U1MVXOaj8PK2l7WJ3RER9xtqwdhxkhw/edit?usp=sharing"",""ราชบุรี!M302"")"),128930)</f>
        <v>128930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IFERROR(__xludf.DUMMYFUNCTION("IMPORTRANGE(""https://docs.google.com/spreadsheets/d/1SX6NBoVAgQJ6U1MVXOaj8PK2l7WJ3RER9xtqwdhxkhw/edit?usp=sharing"",""ราชบุรี!M303"")"),15360)</f>
        <v>15360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IFERROR(__xludf.DUMMYFUNCTION("IMPORTRANGE(""https://docs.google.com/spreadsheets/d/1SX6NBoVAgQJ6U1MVXOaj8PK2l7WJ3RER9xtqwdhxkhw/edit?usp=sharing"",""ราชบุรี!M305"")"),20784.68)</f>
        <v>20784.68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IFERROR(__xludf.DUMMYFUNCTION("IMPORTRANGE(""https://docs.google.com/spreadsheets/d/1SX6NBoVAgQJ6U1MVXOaj8PK2l7WJ3RER9xtqwdhxkhw/edit?usp=sharing"",""ราชบุรี!J307"")"),0)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IFERROR(__xludf.DUMMYFUNCTION("IMPORTRANGE(""https://docs.google.com/spreadsheets/d/1SX6NBoVAgQJ6U1MVXOaj8PK2l7WJ3RER9xtqwdhxkhw/edit?usp=sharing"",""ราชบุรี!J308"")"),1)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IFERROR(__xludf.DUMMYFUNCTION("IMPORTRANGE(""https://docs.google.com/spreadsheets/d/1SX6NBoVAgQJ6U1MVXOaj8PK2l7WJ3RER9xtqwdhxkhw/edit?usp=sharing"",""ราชบุรี!J309"")"),1)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IFERROR(__xludf.DUMMYFUNCTION("IMPORTRANGE(""https://docs.google.com/spreadsheets/d/1SX6NBoVAgQJ6U1MVXOaj8PK2l7WJ3RER9xtqwdhxkhw/edit?usp=sharing"",""ราชบุรี!J310"")"),1)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IFERROR(__xludf.DUMMYFUNCTION("IMPORTRANGE(""https://docs.google.com/spreadsheets/d/1SX6NBoVAgQJ6U1MVXOaj8PK2l7WJ3RER9xtqwdhxkhw/edit?usp=sharing"",""ราชบุรี!I311"")"),65)</f>
        <v>65</v>
      </c>
      <c r="J416" s="201">
        <f ca="1">IFERROR(__xludf.DUMMYFUNCTION("IMPORTRANGE(""https://docs.google.com/spreadsheets/d/1SX6NBoVAgQJ6U1MVXOaj8PK2l7WJ3RER9xtqwdhxkhw/edit?usp=sharing"",""ราชบุรี!J311"")"),65)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IFERROR(__xludf.DUMMYFUNCTION("IMPORTRANGE(""https://docs.google.com/spreadsheets/d/1SX6NBoVAgQJ6U1MVXOaj8PK2l7WJ3RER9xtqwdhxkhw/edit?usp=sharing"",""ราชบุรี!J328"")"),0)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IFERROR(__xludf.DUMMYFUNCTION("IMPORTRANGE(""https://docs.google.com/spreadsheets/d/1SX6NBoVAgQJ6U1MVXOaj8PK2l7WJ3RER9xtqwdhxkhw/edit?usp=sharing"",""ราชบุรี!J329"")"),0)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IFERROR(__xludf.DUMMYFUNCTION("IMPORTRANGE(""https://docs.google.com/spreadsheets/d/1SX6NBoVAgQJ6U1MVXOaj8PK2l7WJ3RER9xtqwdhxkhw/edit?usp=sharing"",""ราชบุรี!M330"")"),58085.58)</f>
        <v>58085.58</v>
      </c>
      <c r="O435" s="412">
        <f t="shared" ref="O435:O439" ca="1" si="114">+IF(L435&gt;0,N435*100/L435,0)</f>
        <v>58.08558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IFERROR(__xludf.DUMMYFUNCTION("IMPORTRANGE(""https://docs.google.com/spreadsheets/d/1SX6NBoVAgQJ6U1MVXOaj8PK2l7WJ3RER9xtqwdhxkhw/edit?usp=sharing"",""ราชบุรี!L331"")"),0)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IFERROR(__xludf.DUMMYFUNCTION("IMPORTRANGE(""https://docs.google.com/spreadsheets/d/1SX6NBoVAgQJ6U1MVXOaj8PK2l7WJ3RER9xtqwdhxkhw/edit?usp=sharing"",""ราชบุรี!M331"")"),0)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IFERROR(__xludf.DUMMYFUNCTION("IMPORTRANGE(""https://docs.google.com/spreadsheets/d/1SX6NBoVAgQJ6U1MVXOaj8PK2l7WJ3RER9xtqwdhxkhw/edit?usp=sharing"",""ราชบุรี!L332"")"),100000)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IFERROR(__xludf.DUMMYFUNCTION("IMPORTRANGE(""https://docs.google.com/spreadsheets/d/1SX6NBoVAgQJ6U1MVXOaj8PK2l7WJ3RER9xtqwdhxkhw/edit?usp=sharing"",""ราชบุรี!M332"")"),58085.58)</f>
        <v>58085.58</v>
      </c>
      <c r="O437" s="169">
        <f t="shared" ca="1" si="114"/>
        <v>58.08558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IFERROR(__xludf.DUMMYFUNCTION("IMPORTRANGE(""https://docs.google.com/spreadsheets/d/1SX6NBoVAgQJ6U1MVXOaj8PK2l7WJ3RER9xtqwdhxkhw/edit?usp=sharing"",""ราชบุรี!L333"")"),0)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IFERROR(__xludf.DUMMYFUNCTION("IMPORTRANGE(""https://docs.google.com/spreadsheets/d/1SX6NBoVAgQJ6U1MVXOaj8PK2l7WJ3RER9xtqwdhxkhw/edit?usp=sharing"",""ราชบุรี!M333"")"),0)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IFERROR(__xludf.DUMMYFUNCTION("IMPORTRANGE(""https://docs.google.com/spreadsheets/d/1SX6NBoVAgQJ6U1MVXOaj8PK2l7WJ3RER9xtqwdhxkhw/edit?usp=sharing"",""ราชบุรี!L334"")"),100000)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IFERROR(__xludf.DUMMYFUNCTION("IMPORTRANGE(""https://docs.google.com/spreadsheets/d/1SX6NBoVAgQJ6U1MVXOaj8PK2l7WJ3RER9xtqwdhxkhw/edit?usp=sharing"",""ราชบุรี!M334"")"),58085.58)</f>
        <v>58085.58</v>
      </c>
      <c r="O439" s="169">
        <f t="shared" ca="1" si="114"/>
        <v>58.08558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IFERROR(__xludf.DUMMYFUNCTION("IMPORTRANGE(""https://docs.google.com/spreadsheets/d/1SX6NBoVAgQJ6U1MVXOaj8PK2l7WJ3RER9xtqwdhxkhw/edit?usp=sharing"",""ราชบุรี!M335"")"),42940)</f>
        <v>42940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IFERROR(__xludf.DUMMYFUNCTION("IMPORTRANGE(""https://docs.google.com/spreadsheets/d/1SX6NBoVAgQJ6U1MVXOaj8PK2l7WJ3RER9xtqwdhxkhw/edit?usp=sharing"",""ราชบุรี!M338"")"),15145.58)</f>
        <v>15145.58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IFERROR(__xludf.DUMMYFUNCTION("IMPORTRANGE(""https://docs.google.com/spreadsheets/d/1SX6NBoVAgQJ6U1MVXOaj8PK2l7WJ3RER9xtqwdhxkhw/edit?usp=sharing"",""ราชบุรี!J340"")"),0)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IFERROR(__xludf.DUMMYFUNCTION("IMPORTRANGE(""https://docs.google.com/spreadsheets/d/1SX6NBoVAgQJ6U1MVXOaj8PK2l7WJ3RER9xtqwdhxkhw/edit?usp=sharing"",""ราชบุรี!J342"")"),1)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IFERROR(__xludf.DUMMYFUNCTION("IMPORTRANGE(""https://docs.google.com/spreadsheets/d/1SX6NBoVAgQJ6U1MVXOaj8PK2l7WJ3RER9xtqwdhxkhw/edit?usp=sharing"",""ราชบุรี!J343"")"),1)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1">
        <f ca="1">IFERROR(__xludf.DUMMYFUNCTION("IMPORTRANGE(""https://docs.google.com/spreadsheets/d/1SX6NBoVAgQJ6U1MVXOaj8PK2l7WJ3RER9xtqwdhxkhw/edit?usp=sharing"",""ราชบุรี!J344"")"),20)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IFERROR(__xludf.DUMMYFUNCTION("IMPORTRANGE(""https://docs.google.com/spreadsheets/d/1SX6NBoVAgQJ6U1MVXOaj8PK2l7WJ3RER9xtqwdhxkhw/edit?usp=sharing"",""ราชบุรี!I345"")"),20)</f>
        <v>20</v>
      </c>
      <c r="J450" s="189">
        <f ca="1">IFERROR(__xludf.DUMMYFUNCTION("IMPORTRANGE(""https://docs.google.com/spreadsheets/d/1SX6NBoVAgQJ6U1MVXOaj8PK2l7WJ3RER9xtqwdhxkhw/edit?usp=sharing"",""ราชบุรี!J345"")"),20)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IFERROR(__xludf.DUMMYFUNCTION("IMPORTRANGE(""https://docs.google.com/spreadsheets/d/1SX6NBoVAgQJ6U1MVXOaj8PK2l7WJ3RER9xtqwdhxkhw/edit?usp=sharing"",""ราชบุรี!I346"")"),0)</f>
        <v>0</v>
      </c>
      <c r="J451" s="188">
        <f ca="1">IFERROR(__xludf.DUMMYFUNCTION("IMPORTRANGE(""https://docs.google.com/spreadsheets/d/1SX6NBoVAgQJ6U1MVXOaj8PK2l7WJ3RER9xtqwdhxkhw/edit?usp=sharing"",""ราชบุรี!J346"")"),0)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IFERROR(__xludf.DUMMYFUNCTION("IMPORTRANGE(""https://docs.google.com/spreadsheets/d/1SX6NBoVAgQJ6U1MVXOaj8PK2l7WJ3RER9xtqwdhxkhw/edit?usp=sharing"",""ราชบุรี!I347"")"),0)</f>
        <v>0</v>
      </c>
      <c r="J452" s="188">
        <f ca="1">IFERROR(__xludf.DUMMYFUNCTION("IMPORTRANGE(""https://docs.google.com/spreadsheets/d/1SX6NBoVAgQJ6U1MVXOaj8PK2l7WJ3RER9xtqwdhxkhw/edit?usp=sharing"",""ราชบุรี!J347"")"),0)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IFERROR(__xludf.DUMMYFUNCTION("IMPORTRANGE(""https://docs.google.com/spreadsheets/d/1SX6NBoVAgQJ6U1MVXOaj8PK2l7WJ3RER9xtqwdhxkhw/edit?usp=sharing"",""ราชบุรี!J348"")"),0)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IFERROR(__xludf.DUMMYFUNCTION("IMPORTRANGE(""https://docs.google.com/spreadsheets/d/1SX6NBoVAgQJ6U1MVXOaj8PK2l7WJ3RER9xtqwdhxkhw/edit?usp=sharing"",""ราชบุรี!J349"")"),0)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IFERROR(__xludf.DUMMYFUNCTION("IMPORTRANGE(""https://docs.google.com/spreadsheets/d/1SX6NBoVAgQJ6U1MVXOaj8PK2l7WJ3RER9xtqwdhxkhw/edit?usp=sharing"",""ราชบุรี!L350"")"),75712)</f>
        <v>75712</v>
      </c>
      <c r="M455" s="373"/>
      <c r="N455" s="373">
        <f ca="1">IFERROR(__xludf.DUMMYFUNCTION("IMPORTRANGE(""https://docs.google.com/spreadsheets/d/1SX6NBoVAgQJ6U1MVXOaj8PK2l7WJ3RER9xtqwdhxkhw/edit?usp=sharing"",""ราชบุรี!M350"")"),30956.26)</f>
        <v>30956.26</v>
      </c>
      <c r="O455" s="373">
        <f t="shared" ref="O455:O459" ca="1" si="116">+IF(L455&gt;0,N455*100/L455,0)</f>
        <v>40.886860735418431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IFERROR(__xludf.DUMMYFUNCTION("IMPORTRANGE(""https://docs.google.com/spreadsheets/d/1SX6NBoVAgQJ6U1MVXOaj8PK2l7WJ3RER9xtqwdhxkhw/edit?usp=sharing"",""ราชบุรี!L351"")"),0)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IFERROR(__xludf.DUMMYFUNCTION("IMPORTRANGE(""https://docs.google.com/spreadsheets/d/1SX6NBoVAgQJ6U1MVXOaj8PK2l7WJ3RER9xtqwdhxkhw/edit?usp=sharing"",""ราชบุรี!M351"")"),0)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IFERROR(__xludf.DUMMYFUNCTION("IMPORTRANGE(""https://docs.google.com/spreadsheets/d/1SX6NBoVAgQJ6U1MVXOaj8PK2l7WJ3RER9xtqwdhxkhw/edit?usp=sharing"",""ราชบุรี!L352"")"),75712)</f>
        <v>75712</v>
      </c>
      <c r="M457" s="165"/>
      <c r="N457" s="169">
        <f ca="1">IFERROR(__xludf.DUMMYFUNCTION("IMPORTRANGE(""https://docs.google.com/spreadsheets/d/1SX6NBoVAgQJ6U1MVXOaj8PK2l7WJ3RER9xtqwdhxkhw/edit?usp=sharing"",""ราชบุรี!M352"")"),30956.26)</f>
        <v>30956.26</v>
      </c>
      <c r="O457" s="169">
        <f t="shared" ca="1" si="116"/>
        <v>40.886860735418431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IFERROR(__xludf.DUMMYFUNCTION("IMPORTRANGE(""https://docs.google.com/spreadsheets/d/1SX6NBoVAgQJ6U1MVXOaj8PK2l7WJ3RER9xtqwdhxkhw/edit?usp=sharing"",""ราชบุรี!L353"")"),0)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IFERROR(__xludf.DUMMYFUNCTION("IMPORTRANGE(""https://docs.google.com/spreadsheets/d/1SX6NBoVAgQJ6U1MVXOaj8PK2l7WJ3RER9xtqwdhxkhw/edit?usp=sharing"",""ราชบุรี!M353"")"),0)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IFERROR(__xludf.DUMMYFUNCTION("IMPORTRANGE(""https://docs.google.com/spreadsheets/d/1SX6NBoVAgQJ6U1MVXOaj8PK2l7WJ3RER9xtqwdhxkhw/edit?usp=sharing"",""ราชบุรี!L354"")"),75712)</f>
        <v>75712</v>
      </c>
      <c r="M459" s="169"/>
      <c r="N459" s="169">
        <f ca="1">IFERROR(__xludf.DUMMYFUNCTION("IMPORTRANGE(""https://docs.google.com/spreadsheets/d/1SX6NBoVAgQJ6U1MVXOaj8PK2l7WJ3RER9xtqwdhxkhw/edit?usp=sharing"",""ราชบุรี!M354"")"),30956.26)</f>
        <v>30956.26</v>
      </c>
      <c r="O459" s="169">
        <f t="shared" ca="1" si="116"/>
        <v>40.886860735418431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IFERROR(__xludf.DUMMYFUNCTION("IMPORTRANGE(""https://docs.google.com/spreadsheets/d/1SX6NBoVAgQJ6U1MVXOaj8PK2l7WJ3RER9xtqwdhxkhw/edit?usp=sharing"",""ราชบุรี!M355"")"),0)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IFERROR(__xludf.DUMMYFUNCTION("IMPORTRANGE(""https://docs.google.com/spreadsheets/d/1SX6NBoVAgQJ6U1MVXOaj8PK2l7WJ3RER9xtqwdhxkhw/edit?usp=sharing"",""ราชบุรี!M356"")"),0)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IFERROR(__xludf.DUMMYFUNCTION("IMPORTRANGE(""https://docs.google.com/spreadsheets/d/1SX6NBoVAgQJ6U1MVXOaj8PK2l7WJ3RER9xtqwdhxkhw/edit?usp=sharing"",""ราชบุรี!M358"")"),30956.26)</f>
        <v>30956.26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IFERROR(__xludf.DUMMYFUNCTION("IMPORTRANGE(""https://docs.google.com/spreadsheets/d/1SX6NBoVAgQJ6U1MVXOaj8PK2l7WJ3RER9xtqwdhxkhw/edit?usp=sharing"",""ราชบุรี!I359"")"),0)</f>
        <v>0</v>
      </c>
      <c r="J464" s="268">
        <f ca="1">IFERROR(__xludf.DUMMYFUNCTION("IMPORTRANGE(""https://docs.google.com/spreadsheets/d/1SX6NBoVAgQJ6U1MVXOaj8PK2l7WJ3RER9xtqwdhxkhw/edit?usp=sharing"",""ราชบุรี!J359"")"),0)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IFERROR(__xludf.DUMMYFUNCTION("IMPORTRANGE(""https://docs.google.com/spreadsheets/d/1SX6NBoVAgQJ6U1MVXOaj8PK2l7WJ3RER9xtqwdhxkhw/edit?usp=sharing"",""ราชบุรี!I362"")"),0)</f>
        <v>0</v>
      </c>
      <c r="J467" s="189">
        <f ca="1">IFERROR(__xludf.DUMMYFUNCTION("IMPORTRANGE(""https://docs.google.com/spreadsheets/d/1SX6NBoVAgQJ6U1MVXOaj8PK2l7WJ3RER9xtqwdhxkhw/edit?usp=sharing"",""ราชบุรี!J362"")"),0)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IFERROR(__xludf.DUMMYFUNCTION("IMPORTRANGE(""https://docs.google.com/spreadsheets/d/1SX6NBoVAgQJ6U1MVXOaj8PK2l7WJ3RER9xtqwdhxkhw/edit?usp=sharing"",""ราชบุรี!I363"")"),0)</f>
        <v>0</v>
      </c>
      <c r="J468" s="189">
        <f ca="1">IFERROR(__xludf.DUMMYFUNCTION("IMPORTRANGE(""https://docs.google.com/spreadsheets/d/1SX6NBoVAgQJ6U1MVXOaj8PK2l7WJ3RER9xtqwdhxkhw/edit?usp=sharing"",""ราชบุรี!J363"")"),0)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IFERROR(__xludf.DUMMYFUNCTION("IMPORTRANGE(""https://docs.google.com/spreadsheets/d/1SX6NBoVAgQJ6U1MVXOaj8PK2l7WJ3RER9xtqwdhxkhw/edit?usp=sharing"",""ราชบุรี!I364"")"),0)</f>
        <v>0</v>
      </c>
      <c r="J469" s="189">
        <f ca="1">IFERROR(__xludf.DUMMYFUNCTION("IMPORTRANGE(""https://docs.google.com/spreadsheets/d/1SX6NBoVAgQJ6U1MVXOaj8PK2l7WJ3RER9xtqwdhxkhw/edit?usp=sharing"",""ราชบุรี!J364"")"),0)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IFERROR(__xludf.DUMMYFUNCTION("IMPORTRANGE(""https://docs.google.com/spreadsheets/d/1SX6NBoVAgQJ6U1MVXOaj8PK2l7WJ3RER9xtqwdhxkhw/edit?usp=sharing"",""ราชบุรี!I365"")"),0)</f>
        <v>0</v>
      </c>
      <c r="J470" s="189">
        <f ca="1">IFERROR(__xludf.DUMMYFUNCTION("IMPORTRANGE(""https://docs.google.com/spreadsheets/d/1SX6NBoVAgQJ6U1MVXOaj8PK2l7WJ3RER9xtqwdhxkhw/edit?usp=sharing"",""ราชบุรี!J365"")"),0)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IFERROR(__xludf.DUMMYFUNCTION("IMPORTRANGE(""https://docs.google.com/spreadsheets/d/1SX6NBoVAgQJ6U1MVXOaj8PK2l7WJ3RER9xtqwdhxkhw/edit?usp=sharing"",""ราชบุรี!I366"")"),0)</f>
        <v>0</v>
      </c>
      <c r="J471" s="189">
        <f ca="1">IFERROR(__xludf.DUMMYFUNCTION("IMPORTRANGE(""https://docs.google.com/spreadsheets/d/1SX6NBoVAgQJ6U1MVXOaj8PK2l7WJ3RER9xtqwdhxkhw/edit?usp=sharing"",""ราชบุรี!J366"")"),0)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IFERROR(__xludf.DUMMYFUNCTION("IMPORTRANGE(""https://docs.google.com/spreadsheets/d/1SX6NBoVAgQJ6U1MVXOaj8PK2l7WJ3RER9xtqwdhxkhw/edit?usp=sharing"",""ราชบุรี!I367"")"),0)</f>
        <v>0</v>
      </c>
      <c r="J472" s="189">
        <f ca="1">IFERROR(__xludf.DUMMYFUNCTION("IMPORTRANGE(""https://docs.google.com/spreadsheets/d/1SX6NBoVAgQJ6U1MVXOaj8PK2l7WJ3RER9xtqwdhxkhw/edit?usp=sharing"",""ราชบุรี!J367"")"),0)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IFERROR(__xludf.DUMMYFUNCTION("IMPORTRANGE(""https://docs.google.com/spreadsheets/d/1SX6NBoVAgQJ6U1MVXOaj8PK2l7WJ3RER9xtqwdhxkhw/edit?usp=sharing"",""ราชบุรี!I370"")"),0)</f>
        <v>0</v>
      </c>
      <c r="J475" s="189">
        <f ca="1">IFERROR(__xludf.DUMMYFUNCTION("IMPORTRANGE(""https://docs.google.com/spreadsheets/d/1SX6NBoVAgQJ6U1MVXOaj8PK2l7WJ3RER9xtqwdhxkhw/edit?usp=sharing"",""ราชบุรี!J370"")"),0)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IFERROR(__xludf.DUMMYFUNCTION("IMPORTRANGE(""https://docs.google.com/spreadsheets/d/1SX6NBoVAgQJ6U1MVXOaj8PK2l7WJ3RER9xtqwdhxkhw/edit?usp=sharing"",""ราชบุรี!I371"")"),0)</f>
        <v>0</v>
      </c>
      <c r="J476" s="189">
        <f ca="1">IFERROR(__xludf.DUMMYFUNCTION("IMPORTRANGE(""https://docs.google.com/spreadsheets/d/1SX6NBoVAgQJ6U1MVXOaj8PK2l7WJ3RER9xtqwdhxkhw/edit?usp=sharing"",""ราชบุรี!J371"")"),0)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IFERROR(__xludf.DUMMYFUNCTION("IMPORTRANGE(""https://docs.google.com/spreadsheets/d/1SX6NBoVAgQJ6U1MVXOaj8PK2l7WJ3RER9xtqwdhxkhw/edit?usp=sharing"",""ราชบุรี!I372"")"),0)</f>
        <v>0</v>
      </c>
      <c r="J477" s="189">
        <f ca="1">IFERROR(__xludf.DUMMYFUNCTION("IMPORTRANGE(""https://docs.google.com/spreadsheets/d/1SX6NBoVAgQJ6U1MVXOaj8PK2l7WJ3RER9xtqwdhxkhw/edit?usp=sharing"",""ราชบุรี!J372"")"),0)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IFERROR(__xludf.DUMMYFUNCTION("IMPORTRANGE(""https://docs.google.com/spreadsheets/d/1SX6NBoVAgQJ6U1MVXOaj8PK2l7WJ3RER9xtqwdhxkhw/edit?usp=sharing"",""ราชบุรี!I373"")"),0)</f>
        <v>0</v>
      </c>
      <c r="J478" s="189">
        <f ca="1">IFERROR(__xludf.DUMMYFUNCTION("IMPORTRANGE(""https://docs.google.com/spreadsheets/d/1SX6NBoVAgQJ6U1MVXOaj8PK2l7WJ3RER9xtqwdhxkhw/edit?usp=sharing"",""ราชบุรี!J373"")"),0)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IFERROR(__xludf.DUMMYFUNCTION("IMPORTRANGE(""https://docs.google.com/spreadsheets/d/1SX6NBoVAgQJ6U1MVXOaj8PK2l7WJ3RER9xtqwdhxkhw/edit?usp=sharing"",""ราชบุรี!I374"")"),0)</f>
        <v>0</v>
      </c>
      <c r="J479" s="189">
        <f ca="1">IFERROR(__xludf.DUMMYFUNCTION("IMPORTRANGE(""https://docs.google.com/spreadsheets/d/1SX6NBoVAgQJ6U1MVXOaj8PK2l7WJ3RER9xtqwdhxkhw/edit?usp=sharing"",""ราชบุรี!J374"")"),0)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IFERROR(__xludf.DUMMYFUNCTION("IMPORTRANGE(""https://docs.google.com/spreadsheets/d/1SX6NBoVAgQJ6U1MVXOaj8PK2l7WJ3RER9xtqwdhxkhw/edit?usp=sharing"",""ราชบุรี!I375"")"),0)</f>
        <v>0</v>
      </c>
      <c r="J480" s="189">
        <f ca="1">IFERROR(__xludf.DUMMYFUNCTION("IMPORTRANGE(""https://docs.google.com/spreadsheets/d/1SX6NBoVAgQJ6U1MVXOaj8PK2l7WJ3RER9xtqwdhxkhw/edit?usp=sharing"",""ราชบุรี!J375"")"),0)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IFERROR(__xludf.DUMMYFUNCTION("IMPORTRANGE(""https://docs.google.com/spreadsheets/d/1SX6NBoVAgQJ6U1MVXOaj8PK2l7WJ3RER9xtqwdhxkhw/edit?usp=sharing"",""ราชบุรี!I378"")"),0)</f>
        <v>0</v>
      </c>
      <c r="J483" s="189">
        <f ca="1">IFERROR(__xludf.DUMMYFUNCTION("IMPORTRANGE(""https://docs.google.com/spreadsheets/d/1SX6NBoVAgQJ6U1MVXOaj8PK2l7WJ3RER9xtqwdhxkhw/edit?usp=sharing"",""ราชบุรี!J378"")"),0)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IFERROR(__xludf.DUMMYFUNCTION("IMPORTRANGE(""https://docs.google.com/spreadsheets/d/1SX6NBoVAgQJ6U1MVXOaj8PK2l7WJ3RER9xtqwdhxkhw/edit?usp=sharing"",""ราชบุรี!I379"")"),0)</f>
        <v>0</v>
      </c>
      <c r="J484" s="189">
        <f ca="1">IFERROR(__xludf.DUMMYFUNCTION("IMPORTRANGE(""https://docs.google.com/spreadsheets/d/1SX6NBoVAgQJ6U1MVXOaj8PK2l7WJ3RER9xtqwdhxkhw/edit?usp=sharing"",""ราชบุรี!J379"")"),0)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IFERROR(__xludf.DUMMYFUNCTION("IMPORTRANGE(""https://docs.google.com/spreadsheets/d/1SX6NBoVAgQJ6U1MVXOaj8PK2l7WJ3RER9xtqwdhxkhw/edit?usp=sharing"",""ราชบุรี!I380"")"),0)</f>
        <v>0</v>
      </c>
      <c r="J485" s="189">
        <f ca="1">IFERROR(__xludf.DUMMYFUNCTION("IMPORTRANGE(""https://docs.google.com/spreadsheets/d/1SX6NBoVAgQJ6U1MVXOaj8PK2l7WJ3RER9xtqwdhxkhw/edit?usp=sharing"",""ราชบุรี!J380"")"),0)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IFERROR(__xludf.DUMMYFUNCTION("IMPORTRANGE(""https://docs.google.com/spreadsheets/d/1SX6NBoVAgQJ6U1MVXOaj8PK2l7WJ3RER9xtqwdhxkhw/edit?usp=sharing"",""ราชบุรี!I381"")"),0)</f>
        <v>0</v>
      </c>
      <c r="J486" s="189">
        <f ca="1">IFERROR(__xludf.DUMMYFUNCTION("IMPORTRANGE(""https://docs.google.com/spreadsheets/d/1SX6NBoVAgQJ6U1MVXOaj8PK2l7WJ3RER9xtqwdhxkhw/edit?usp=sharing"",""ราชบุรี!J381"")"),0)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IFERROR(__xludf.DUMMYFUNCTION("IMPORTRANGE(""https://docs.google.com/spreadsheets/d/1SX6NBoVAgQJ6U1MVXOaj8PK2l7WJ3RER9xtqwdhxkhw/edit?usp=sharing"",""ราชบุรี!I384"")"),0)</f>
        <v>0</v>
      </c>
      <c r="J489" s="189">
        <f ca="1">IFERROR(__xludf.DUMMYFUNCTION("IMPORTRANGE(""https://docs.google.com/spreadsheets/d/1SX6NBoVAgQJ6U1MVXOaj8PK2l7WJ3RER9xtqwdhxkhw/edit?usp=sharing"",""ราชบุรี!J384"")"),0)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IFERROR(__xludf.DUMMYFUNCTION("IMPORTRANGE(""https://docs.google.com/spreadsheets/d/1SX6NBoVAgQJ6U1MVXOaj8PK2l7WJ3RER9xtqwdhxkhw/edit?usp=sharing"",""ราชบุรี!I385"")"),0)</f>
        <v>0</v>
      </c>
      <c r="J490" s="189">
        <f ca="1">IFERROR(__xludf.DUMMYFUNCTION("IMPORTRANGE(""https://docs.google.com/spreadsheets/d/1SX6NBoVAgQJ6U1MVXOaj8PK2l7WJ3RER9xtqwdhxkhw/edit?usp=sharing"",""ราชบุรี!J385"")"),0)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IFERROR(__xludf.DUMMYFUNCTION("IMPORTRANGE(""https://docs.google.com/spreadsheets/d/1SX6NBoVAgQJ6U1MVXOaj8PK2l7WJ3RER9xtqwdhxkhw/edit?usp=sharing"",""ราชบุรี!I386"")"),0)</f>
        <v>0</v>
      </c>
      <c r="J491" s="189">
        <f ca="1">IFERROR(__xludf.DUMMYFUNCTION("IMPORTRANGE(""https://docs.google.com/spreadsheets/d/1SX6NBoVAgQJ6U1MVXOaj8PK2l7WJ3RER9xtqwdhxkhw/edit?usp=sharing"",""ราชบุรี!J386"")"),0)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IFERROR(__xludf.DUMMYFUNCTION("IMPORTRANGE(""https://docs.google.com/spreadsheets/d/1SX6NBoVAgQJ6U1MVXOaj8PK2l7WJ3RER9xtqwdhxkhw/edit?usp=sharing"",""ราชบุรี!I387"")"),0)</f>
        <v>0</v>
      </c>
      <c r="J492" s="189">
        <f ca="1">IFERROR(__xludf.DUMMYFUNCTION("IMPORTRANGE(""https://docs.google.com/spreadsheets/d/1SX6NBoVAgQJ6U1MVXOaj8PK2l7WJ3RER9xtqwdhxkhw/edit?usp=sharing"",""ราชบุรี!J387"")"),0)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IFERROR(__xludf.DUMMYFUNCTION("IMPORTRANGE(""https://docs.google.com/spreadsheets/d/1SX6NBoVAgQJ6U1MVXOaj8PK2l7WJ3RER9xtqwdhxkhw/edit?usp=sharing"",""ราชบุรี!I388"")"),0)</f>
        <v>0</v>
      </c>
      <c r="J493" s="189">
        <f ca="1">IFERROR(__xludf.DUMMYFUNCTION("IMPORTRANGE(""https://docs.google.com/spreadsheets/d/1SX6NBoVAgQJ6U1MVXOaj8PK2l7WJ3RER9xtqwdhxkhw/edit?usp=sharing"",""ราชบุรี!J388"")"),0)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IFERROR(__xludf.DUMMYFUNCTION("IMPORTRANGE(""https://docs.google.com/spreadsheets/d/1SX6NBoVAgQJ6U1MVXOaj8PK2l7WJ3RER9xtqwdhxkhw/edit?usp=sharing"",""ราชบุรี!J392"")"),1407)</f>
        <v>1407</v>
      </c>
      <c r="K497" s="444">
        <f t="shared" ca="1" si="117"/>
        <v>82.184579439252332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IFERROR(__xludf.DUMMYFUNCTION("IMPORTRANGE(""https://docs.google.com/spreadsheets/d/1SX6NBoVAgQJ6U1MVXOaj8PK2l7WJ3RER9xtqwdhxkhw/edit?usp=sharing"",""ราชบุรี!J393"")"),1407)</f>
        <v>1407</v>
      </c>
      <c r="K498" s="202">
        <f t="shared" ca="1" si="117"/>
        <v>82.184579439252332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IFERROR(__xludf.DUMMYFUNCTION("IMPORTRANGE(""https://docs.google.com/spreadsheets/d/1SX6NBoVAgQJ6U1MVXOaj8PK2l7WJ3RER9xtqwdhxkhw/edit?usp=sharing"",""ราชบุรี!J394"")"),92)</f>
        <v>92</v>
      </c>
      <c r="K499" s="202">
        <f t="shared" ca="1" si="117"/>
        <v>78.632478632478637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IFERROR(__xludf.DUMMYFUNCTION("IMPORTRANGE(""https://docs.google.com/spreadsheets/d/1SX6NBoVAgQJ6U1MVXOaj8PK2l7WJ3RER9xtqwdhxkhw/edit?usp=sharing"",""ราชบุรี!I395"")"),0)</f>
        <v>0</v>
      </c>
      <c r="J500" s="162">
        <f ca="1">IFERROR(__xludf.DUMMYFUNCTION("IMPORTRANGE(""https://docs.google.com/spreadsheets/d/1SX6NBoVAgQJ6U1MVXOaj8PK2l7WJ3RER9xtqwdhxkhw/edit?usp=sharing"",""ราชบุรี!J395"")"),1407)</f>
        <v>1407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IFERROR(__xludf.DUMMYFUNCTION("IMPORTRANGE(""https://docs.google.com/spreadsheets/d/1SX6NBoVAgQJ6U1MVXOaj8PK2l7WJ3RER9xtqwdhxkhw/edit?usp=sharing"",""ราชบุรี!I396"")"),0)</f>
        <v>0</v>
      </c>
      <c r="J501" s="162">
        <f ca="1">IFERROR(__xludf.DUMMYFUNCTION("IMPORTRANGE(""https://docs.google.com/spreadsheets/d/1SX6NBoVAgQJ6U1MVXOaj8PK2l7WJ3RER9xtqwdhxkhw/edit?usp=sharing"",""ราชบุรี!J396"")"),92)</f>
        <v>92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IFERROR(__xludf.DUMMYFUNCTION("IMPORTRANGE(""https://docs.google.com/spreadsheets/d/1SX6NBoVAgQJ6U1MVXOaj8PK2l7WJ3RER9xtqwdhxkhw/edit?usp=sharing"",""ราชบุรี!I397"")"),0)</f>
        <v>0</v>
      </c>
      <c r="J502" s="189">
        <f ca="1">IFERROR(__xludf.DUMMYFUNCTION("IMPORTRANGE(""https://docs.google.com/spreadsheets/d/1SX6NBoVAgQJ6U1MVXOaj8PK2l7WJ3RER9xtqwdhxkhw/edit?usp=sharing"",""ราชบุรี!J397"")"),1407)</f>
        <v>1407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IFERROR(__xludf.DUMMYFUNCTION("IMPORTRANGE(""https://docs.google.com/spreadsheets/d/1SX6NBoVAgQJ6U1MVXOaj8PK2l7WJ3RER9xtqwdhxkhw/edit?usp=sharing"",""ราชบุรี!I398"")"),0)</f>
        <v>0</v>
      </c>
      <c r="J503" s="198">
        <f ca="1">IFERROR(__xludf.DUMMYFUNCTION("IMPORTRANGE(""https://docs.google.com/spreadsheets/d/1SX6NBoVAgQJ6U1MVXOaj8PK2l7WJ3RER9xtqwdhxkhw/edit?usp=sharing"",""ราชบุรี!J398"")"),92)</f>
        <v>92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IFERROR(__xludf.DUMMYFUNCTION("IMPORTRANGE(""https://docs.google.com/spreadsheets/d/1SX6NBoVAgQJ6U1MVXOaj8PK2l7WJ3RER9xtqwdhxkhw/edit?usp=sharing"",""ราชบุรี!I399"")"),0)</f>
        <v>0</v>
      </c>
      <c r="J504" s="189">
        <f ca="1">IFERROR(__xludf.DUMMYFUNCTION("IMPORTRANGE(""https://docs.google.com/spreadsheets/d/1SX6NBoVAgQJ6U1MVXOaj8PK2l7WJ3RER9xtqwdhxkhw/edit?usp=sharing"",""ราชบุรี!J399"")"),0)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IFERROR(__xludf.DUMMYFUNCTION("IMPORTRANGE(""https://docs.google.com/spreadsheets/d/1SX6NBoVAgQJ6U1MVXOaj8PK2l7WJ3RER9xtqwdhxkhw/edit?usp=sharing"",""ราชบุรี!I400"")"),0)</f>
        <v>0</v>
      </c>
      <c r="J505" s="198">
        <f ca="1">IFERROR(__xludf.DUMMYFUNCTION("IMPORTRANGE(""https://docs.google.com/spreadsheets/d/1SX6NBoVAgQJ6U1MVXOaj8PK2l7WJ3RER9xtqwdhxkhw/edit?usp=sharing"",""ราชบุรี!J400"")"),0)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IFERROR(__xludf.DUMMYFUNCTION("IMPORTRANGE(""https://docs.google.com/spreadsheets/d/1SX6NBoVAgQJ6U1MVXOaj8PK2l7WJ3RER9xtqwdhxkhw/edit?usp=sharing"",""ราชบุรี!I401"")"),0)</f>
        <v>0</v>
      </c>
      <c r="J506" s="189">
        <f ca="1">IFERROR(__xludf.DUMMYFUNCTION("IMPORTRANGE(""https://docs.google.com/spreadsheets/d/1SX6NBoVAgQJ6U1MVXOaj8PK2l7WJ3RER9xtqwdhxkhw/edit?usp=sharing"",""ราชบุรี!J401"")"),0)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IFERROR(__xludf.DUMMYFUNCTION("IMPORTRANGE(""https://docs.google.com/spreadsheets/d/1SX6NBoVAgQJ6U1MVXOaj8PK2l7WJ3RER9xtqwdhxkhw/edit?usp=sharing"",""ราชบุรี!I402"")"),0)</f>
        <v>0</v>
      </c>
      <c r="J507" s="198">
        <f ca="1">IFERROR(__xludf.DUMMYFUNCTION("IMPORTRANGE(""https://docs.google.com/spreadsheets/d/1SX6NBoVAgQJ6U1MVXOaj8PK2l7WJ3RER9xtqwdhxkhw/edit?usp=sharing"",""ราชบุรี!J402"")"),0)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IFERROR(__xludf.DUMMYFUNCTION("IMPORTRANGE(""https://docs.google.com/spreadsheets/d/1SX6NBoVAgQJ6U1MVXOaj8PK2l7WJ3RER9xtqwdhxkhw/edit?usp=sharing"",""ราชบุรี!I403"")"),0)</f>
        <v>0</v>
      </c>
      <c r="J508" s="162">
        <f ca="1">IFERROR(__xludf.DUMMYFUNCTION("IMPORTRANGE(""https://docs.google.com/spreadsheets/d/1SX6NBoVAgQJ6U1MVXOaj8PK2l7WJ3RER9xtqwdhxkhw/edit?usp=sharing"",""ราชบุรี!J403"")"),0)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IFERROR(__xludf.DUMMYFUNCTION("IMPORTRANGE(""https://docs.google.com/spreadsheets/d/1SX6NBoVAgQJ6U1MVXOaj8PK2l7WJ3RER9xtqwdhxkhw/edit?usp=sharing"",""ราชบุรี!I404"")"),0)</f>
        <v>0</v>
      </c>
      <c r="J509" s="162">
        <f ca="1">IFERROR(__xludf.DUMMYFUNCTION("IMPORTRANGE(""https://docs.google.com/spreadsheets/d/1SX6NBoVAgQJ6U1MVXOaj8PK2l7WJ3RER9xtqwdhxkhw/edit?usp=sharing"",""ราชบุรี!J404"")"),0)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IFERROR(__xludf.DUMMYFUNCTION("IMPORTRANGE(""https://docs.google.com/spreadsheets/d/1SX6NBoVAgQJ6U1MVXOaj8PK2l7WJ3RER9xtqwdhxkhw/edit?usp=sharing"",""ราชบุรี!I405"")"),0)</f>
        <v>0</v>
      </c>
      <c r="J510" s="198">
        <f ca="1">IFERROR(__xludf.DUMMYFUNCTION("IMPORTRANGE(""https://docs.google.com/spreadsheets/d/1SX6NBoVAgQJ6U1MVXOaj8PK2l7WJ3RER9xtqwdhxkhw/edit?usp=sharing"",""ราชบุรี!J405"")"),0)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IFERROR(__xludf.DUMMYFUNCTION("IMPORTRANGE(""https://docs.google.com/spreadsheets/d/1SX6NBoVAgQJ6U1MVXOaj8PK2l7WJ3RER9xtqwdhxkhw/edit?usp=sharing"",""ราชบุรี!I406"")"),0)</f>
        <v>0</v>
      </c>
      <c r="J511" s="198">
        <f ca="1">IFERROR(__xludf.DUMMYFUNCTION("IMPORTRANGE(""https://docs.google.com/spreadsheets/d/1SX6NBoVAgQJ6U1MVXOaj8PK2l7WJ3RER9xtqwdhxkhw/edit?usp=sharing"",""ราชบุรี!J406"")"),0)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IFERROR(__xludf.DUMMYFUNCTION("IMPORTRANGE(""https://docs.google.com/spreadsheets/d/1SX6NBoVAgQJ6U1MVXOaj8PK2l7WJ3RER9xtqwdhxkhw/edit?usp=sharing"",""ราชบุรี!I407"")"),0)</f>
        <v>0</v>
      </c>
      <c r="J512" s="198">
        <f ca="1">IFERROR(__xludf.DUMMYFUNCTION("IMPORTRANGE(""https://docs.google.com/spreadsheets/d/1SX6NBoVAgQJ6U1MVXOaj8PK2l7WJ3RER9xtqwdhxkhw/edit?usp=sharing"",""ราชบุรี!J407"")"),0)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IFERROR(__xludf.DUMMYFUNCTION("IMPORTRANGE(""https://docs.google.com/spreadsheets/d/1SX6NBoVAgQJ6U1MVXOaj8PK2l7WJ3RER9xtqwdhxkhw/edit?usp=sharing"",""ราชบุรี!I408"")"),0)</f>
        <v>0</v>
      </c>
      <c r="J513" s="198">
        <f ca="1">IFERROR(__xludf.DUMMYFUNCTION("IMPORTRANGE(""https://docs.google.com/spreadsheets/d/1SX6NBoVAgQJ6U1MVXOaj8PK2l7WJ3RER9xtqwdhxkhw/edit?usp=sharing"",""ราชบุรี!J408"")"),0)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IFERROR(__xludf.DUMMYFUNCTION("IMPORTRANGE(""https://docs.google.com/spreadsheets/d/1SX6NBoVAgQJ6U1MVXOaj8PK2l7WJ3RER9xtqwdhxkhw/edit?usp=sharing"",""ราชบุรี!I409"")"),0)</f>
        <v>0</v>
      </c>
      <c r="J514" s="198">
        <f ca="1">IFERROR(__xludf.DUMMYFUNCTION("IMPORTRANGE(""https://docs.google.com/spreadsheets/d/1SX6NBoVAgQJ6U1MVXOaj8PK2l7WJ3RER9xtqwdhxkhw/edit?usp=sharing"",""ราชบุรี!J409"")"),0)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IFERROR(__xludf.DUMMYFUNCTION("IMPORTRANGE(""https://docs.google.com/spreadsheets/d/1SX6NBoVAgQJ6U1MVXOaj8PK2l7WJ3RER9xtqwdhxkhw/edit?usp=sharing"",""ราชบุรี!I410"")"),0)</f>
        <v>0</v>
      </c>
      <c r="J515" s="198">
        <f ca="1">IFERROR(__xludf.DUMMYFUNCTION("IMPORTRANGE(""https://docs.google.com/spreadsheets/d/1SX6NBoVAgQJ6U1MVXOaj8PK2l7WJ3RER9xtqwdhxkhw/edit?usp=sharing"",""ราชบุรี!J410"")"),0)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IFERROR(__xludf.DUMMYFUNCTION("IMPORTRANGE(""https://docs.google.com/spreadsheets/d/1SX6NBoVAgQJ6U1MVXOaj8PK2l7WJ3RER9xtqwdhxkhw/edit?usp=sharing"",""ราชบุรี!I411"")"),0)</f>
        <v>0</v>
      </c>
      <c r="J516" s="268">
        <f ca="1">IFERROR(__xludf.DUMMYFUNCTION("IMPORTRANGE(""https://docs.google.com/spreadsheets/d/1SX6NBoVAgQJ6U1MVXOaj8PK2l7WJ3RER9xtqwdhxkhw/edit?usp=sharing"",""ราชบุรี!J411"")"),0)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IFERROR(__xludf.DUMMYFUNCTION("IMPORTRANGE(""https://docs.google.com/spreadsheets/d/1SX6NBoVAgQJ6U1MVXOaj8PK2l7WJ3RER9xtqwdhxkhw/edit?usp=sharing"",""ราชบุรี!I412"")"),0)</f>
        <v>0</v>
      </c>
      <c r="J517" s="285">
        <f ca="1">IFERROR(__xludf.DUMMYFUNCTION("IMPORTRANGE(""https://docs.google.com/spreadsheets/d/1SX6NBoVAgQJ6U1MVXOaj8PK2l7WJ3RER9xtqwdhxkhw/edit?usp=sharing"",""ราชบุรี!J412"")"),0)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IFERROR(__xludf.DUMMYFUNCTION("IMPORTRANGE(""https://docs.google.com/spreadsheets/d/1SX6NBoVAgQJ6U1MVXOaj8PK2l7WJ3RER9xtqwdhxkhw/edit?usp=sharing"",""ราชบุรี!I413"")"),0)</f>
        <v>0</v>
      </c>
      <c r="J518" s="285">
        <f ca="1">IFERROR(__xludf.DUMMYFUNCTION("IMPORTRANGE(""https://docs.google.com/spreadsheets/d/1SX6NBoVAgQJ6U1MVXOaj8PK2l7WJ3RER9xtqwdhxkhw/edit?usp=sharing"",""ราชบุรี!J413"")"),0)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IFERROR(__xludf.DUMMYFUNCTION("IMPORTRANGE(""https://docs.google.com/spreadsheets/d/1SX6NBoVAgQJ6U1MVXOaj8PK2l7WJ3RER9xtqwdhxkhw/edit?usp=sharing"",""ราชบุรี!I414"")"),0)</f>
        <v>0</v>
      </c>
      <c r="J519" s="188">
        <f ca="1">IFERROR(__xludf.DUMMYFUNCTION("IMPORTRANGE(""https://docs.google.com/spreadsheets/d/1SX6NBoVAgQJ6U1MVXOaj8PK2l7WJ3RER9xtqwdhxkhw/edit?usp=sharing"",""ราชบุรี!J414"")"),0)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IFERROR(__xludf.DUMMYFUNCTION("IMPORTRANGE(""https://docs.google.com/spreadsheets/d/1SX6NBoVAgQJ6U1MVXOaj8PK2l7WJ3RER9xtqwdhxkhw/edit?usp=sharing"",""ราชบุรี!I415"")"),0)</f>
        <v>0</v>
      </c>
      <c r="J520" s="188">
        <f ca="1">IFERROR(__xludf.DUMMYFUNCTION("IMPORTRANGE(""https://docs.google.com/spreadsheets/d/1SX6NBoVAgQJ6U1MVXOaj8PK2l7WJ3RER9xtqwdhxkhw/edit?usp=sharing"",""ราชบุรี!J415"")"),0)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IFERROR(__xludf.DUMMYFUNCTION("IMPORTRANGE(""https://docs.google.com/spreadsheets/d/1SX6NBoVAgQJ6U1MVXOaj8PK2l7WJ3RER9xtqwdhxkhw/edit?usp=sharing"",""ราชบุรี!I416"")"),0)</f>
        <v>0</v>
      </c>
      <c r="J521" s="188">
        <f ca="1">IFERROR(__xludf.DUMMYFUNCTION("IMPORTRANGE(""https://docs.google.com/spreadsheets/d/1SX6NBoVAgQJ6U1MVXOaj8PK2l7WJ3RER9xtqwdhxkhw/edit?usp=sharing"",""ราชบุรี!J416"")"),0)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IFERROR(__xludf.DUMMYFUNCTION("IMPORTRANGE(""https://docs.google.com/spreadsheets/d/1SX6NBoVAgQJ6U1MVXOaj8PK2l7WJ3RER9xtqwdhxkhw/edit?usp=sharing"",""ราชบุรี!I417"")"),0)</f>
        <v>0</v>
      </c>
      <c r="J522" s="188">
        <f ca="1">IFERROR(__xludf.DUMMYFUNCTION("IMPORTRANGE(""https://docs.google.com/spreadsheets/d/1SX6NBoVAgQJ6U1MVXOaj8PK2l7WJ3RER9xtqwdhxkhw/edit?usp=sharing"",""ราชบุรี!J417"")"),0)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IFERROR(__xludf.DUMMYFUNCTION("IMPORTRANGE(""https://docs.google.com/spreadsheets/d/1SX6NBoVAgQJ6U1MVXOaj8PK2l7WJ3RER9xtqwdhxkhw/edit?usp=sharing"",""ราชบุรี!I418"")"),0)</f>
        <v>0</v>
      </c>
      <c r="J523" s="188">
        <f ca="1">IFERROR(__xludf.DUMMYFUNCTION("IMPORTRANGE(""https://docs.google.com/spreadsheets/d/1SX6NBoVAgQJ6U1MVXOaj8PK2l7WJ3RER9xtqwdhxkhw/edit?usp=sharing"",""ราชบุรี!J418"")"),0)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IFERROR(__xludf.DUMMYFUNCTION("IMPORTRANGE(""https://docs.google.com/spreadsheets/d/1SX6NBoVAgQJ6U1MVXOaj8PK2l7WJ3RER9xtqwdhxkhw/edit?usp=sharing"",""ราชบุรี!I419"")"),0)</f>
        <v>0</v>
      </c>
      <c r="J524" s="188">
        <f ca="1">IFERROR(__xludf.DUMMYFUNCTION("IMPORTRANGE(""https://docs.google.com/spreadsheets/d/1SX6NBoVAgQJ6U1MVXOaj8PK2l7WJ3RER9xtqwdhxkhw/edit?usp=sharing"",""ราชบุรี!J419"")"),0)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IFERROR(__xludf.DUMMYFUNCTION("IMPORTRANGE(""https://docs.google.com/spreadsheets/d/1SX6NBoVAgQJ6U1MVXOaj8PK2l7WJ3RER9xtqwdhxkhw/edit?usp=sharing"",""ราชบุรี!I420"")"),0)</f>
        <v>0</v>
      </c>
      <c r="J525" s="285">
        <f ca="1">IFERROR(__xludf.DUMMYFUNCTION("IMPORTRANGE(""https://docs.google.com/spreadsheets/d/1SX6NBoVAgQJ6U1MVXOaj8PK2l7WJ3RER9xtqwdhxkhw/edit?usp=sharing"",""ราชบุรี!J420"")"),0)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IFERROR(__xludf.DUMMYFUNCTION("IMPORTRANGE(""https://docs.google.com/spreadsheets/d/1SX6NBoVAgQJ6U1MVXOaj8PK2l7WJ3RER9xtqwdhxkhw/edit?usp=sharing"",""ราชบุรี!I421"")"),0)</f>
        <v>0</v>
      </c>
      <c r="J526" s="285">
        <f ca="1">IFERROR(__xludf.DUMMYFUNCTION("IMPORTRANGE(""https://docs.google.com/spreadsheets/d/1SX6NBoVAgQJ6U1MVXOaj8PK2l7WJ3RER9xtqwdhxkhw/edit?usp=sharing"",""ราชบุรี!J421"")"),0)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IFERROR(__xludf.DUMMYFUNCTION("IMPORTRANGE(""https://docs.google.com/spreadsheets/d/1SX6NBoVAgQJ6U1MVXOaj8PK2l7WJ3RER9xtqwdhxkhw/edit?usp=sharing"",""ราชบุรี!I422"")"),0)</f>
        <v>0</v>
      </c>
      <c r="J527" s="198">
        <f ca="1">IFERROR(__xludf.DUMMYFUNCTION("IMPORTRANGE(""https://docs.google.com/spreadsheets/d/1SX6NBoVAgQJ6U1MVXOaj8PK2l7WJ3RER9xtqwdhxkhw/edit?usp=sharing"",""ราชบุรี!J422"")"),0)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IFERROR(__xludf.DUMMYFUNCTION("IMPORTRANGE(""https://docs.google.com/spreadsheets/d/1SX6NBoVAgQJ6U1MVXOaj8PK2l7WJ3RER9xtqwdhxkhw/edit?usp=sharing"",""ราชบุรี!I423"")"),0)</f>
        <v>0</v>
      </c>
      <c r="J528" s="198">
        <f ca="1">IFERROR(__xludf.DUMMYFUNCTION("IMPORTRANGE(""https://docs.google.com/spreadsheets/d/1SX6NBoVAgQJ6U1MVXOaj8PK2l7WJ3RER9xtqwdhxkhw/edit?usp=sharing"",""ราชบุรี!J423"")"),0)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IFERROR(__xludf.DUMMYFUNCTION("IMPORTRANGE(""https://docs.google.com/spreadsheets/d/1SX6NBoVAgQJ6U1MVXOaj8PK2l7WJ3RER9xtqwdhxkhw/edit?usp=sharing"",""ราชบุรี!I424"")"),0)</f>
        <v>0</v>
      </c>
      <c r="J529" s="198">
        <f ca="1">IFERROR(__xludf.DUMMYFUNCTION("IMPORTRANGE(""https://docs.google.com/spreadsheets/d/1SX6NBoVAgQJ6U1MVXOaj8PK2l7WJ3RER9xtqwdhxkhw/edit?usp=sharing"",""ราชบุรี!J424"")"),0)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IFERROR(__xludf.DUMMYFUNCTION("IMPORTRANGE(""https://docs.google.com/spreadsheets/d/1SX6NBoVAgQJ6U1MVXOaj8PK2l7WJ3RER9xtqwdhxkhw/edit?usp=sharing"",""ราชบุรี!I425"")"),0)</f>
        <v>0</v>
      </c>
      <c r="J530" s="198">
        <f ca="1">IFERROR(__xludf.DUMMYFUNCTION("IMPORTRANGE(""https://docs.google.com/spreadsheets/d/1SX6NBoVAgQJ6U1MVXOaj8PK2l7WJ3RER9xtqwdhxkhw/edit?usp=sharing"",""ราชบุรี!J425"")"),0)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IFERROR(__xludf.DUMMYFUNCTION("IMPORTRANGE(""https://docs.google.com/spreadsheets/d/1SX6NBoVAgQJ6U1MVXOaj8PK2l7WJ3RER9xtqwdhxkhw/edit?usp=sharing"",""ราชบุรี!I426"")"),0)</f>
        <v>0</v>
      </c>
      <c r="J531" s="198">
        <f ca="1">IFERROR(__xludf.DUMMYFUNCTION("IMPORTRANGE(""https://docs.google.com/spreadsheets/d/1SX6NBoVAgQJ6U1MVXOaj8PK2l7WJ3RER9xtqwdhxkhw/edit?usp=sharing"",""ราชบุรี!J426"")"),0)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IFERROR(__xludf.DUMMYFUNCTION("IMPORTRANGE(""https://docs.google.com/spreadsheets/d/1SX6NBoVAgQJ6U1MVXOaj8PK2l7WJ3RER9xtqwdhxkhw/edit?usp=sharing"",""ราชบุรี!M428"")"),28116.97)</f>
        <v>28116.97</v>
      </c>
      <c r="O533" s="412">
        <f t="shared" ref="O533:O537" ca="1" si="118">+IF(L533&gt;0,N533*100/L533,0)</f>
        <v>81.878188701223067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IFERROR(__xludf.DUMMYFUNCTION("IMPORTRANGE(""https://docs.google.com/spreadsheets/d/1SX6NBoVAgQJ6U1MVXOaj8PK2l7WJ3RER9xtqwdhxkhw/edit?usp=sharing"",""ราชบุรี!L429"")"),0)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IFERROR(__xludf.DUMMYFUNCTION("IMPORTRANGE(""https://docs.google.com/spreadsheets/d/1SX6NBoVAgQJ6U1MVXOaj8PK2l7WJ3RER9xtqwdhxkhw/edit?usp=sharing"",""ราชบุรี!M429"")"),0)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IFERROR(__xludf.DUMMYFUNCTION("IMPORTRANGE(""https://docs.google.com/spreadsheets/d/1SX6NBoVAgQJ6U1MVXOaj8PK2l7WJ3RER9xtqwdhxkhw/edit?usp=sharing"",""ราชบุรี!L430"")"),34340)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IFERROR(__xludf.DUMMYFUNCTION("IMPORTRANGE(""https://docs.google.com/spreadsheets/d/1SX6NBoVAgQJ6U1MVXOaj8PK2l7WJ3RER9xtqwdhxkhw/edit?usp=sharing"",""ราชบุรี!M430"")"),28116.97)</f>
        <v>28116.97</v>
      </c>
      <c r="O535" s="169">
        <f t="shared" ca="1" si="118"/>
        <v>81.878188701223067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IFERROR(__xludf.DUMMYFUNCTION("IMPORTRANGE(""https://docs.google.com/spreadsheets/d/1SX6NBoVAgQJ6U1MVXOaj8PK2l7WJ3RER9xtqwdhxkhw/edit?usp=sharing"",""ราชบุรี!L431"")"),0)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IFERROR(__xludf.DUMMYFUNCTION("IMPORTRANGE(""https://docs.google.com/spreadsheets/d/1SX6NBoVAgQJ6U1MVXOaj8PK2l7WJ3RER9xtqwdhxkhw/edit?usp=sharing"",""ราชบุรี!M431"")"),0)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IFERROR(__xludf.DUMMYFUNCTION("IMPORTRANGE(""https://docs.google.com/spreadsheets/d/1SX6NBoVAgQJ6U1MVXOaj8PK2l7WJ3RER9xtqwdhxkhw/edit?usp=sharing"",""ราชบุรี!L432"")"),34340)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IFERROR(__xludf.DUMMYFUNCTION("IMPORTRANGE(""https://docs.google.com/spreadsheets/d/1SX6NBoVAgQJ6U1MVXOaj8PK2l7WJ3RER9xtqwdhxkhw/edit?usp=sharing"",""ราชบุรี!M432"")"),28116.97)</f>
        <v>28116.97</v>
      </c>
      <c r="O537" s="169">
        <f t="shared" ca="1" si="118"/>
        <v>81.878188701223067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IFERROR(__xludf.DUMMYFUNCTION("IMPORTRANGE(""https://docs.google.com/spreadsheets/d/1SX6NBoVAgQJ6U1MVXOaj8PK2l7WJ3RER9xtqwdhxkhw/edit?usp=sharing"",""ราชบุรี!M433"")"),17014)</f>
        <v>17014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IFERROR(__xludf.DUMMYFUNCTION("IMPORTRANGE(""https://docs.google.com/spreadsheets/d/1SX6NBoVAgQJ6U1MVXOaj8PK2l7WJ3RER9xtqwdhxkhw/edit?usp=sharing"",""ราชบุรี!M436"")"),11102.97)</f>
        <v>11102.97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IFERROR(__xludf.DUMMYFUNCTION("IMPORTRANGE(""https://docs.google.com/spreadsheets/d/1SX6NBoVAgQJ6U1MVXOaj8PK2l7WJ3RER9xtqwdhxkhw/edit?usp=sharing"",""ราชบุรี!J438"")"),0)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IFERROR(__xludf.DUMMYFUNCTION("IMPORTRANGE(""https://docs.google.com/spreadsheets/d/1SX6NBoVAgQJ6U1MVXOaj8PK2l7WJ3RER9xtqwdhxkhw/edit?usp=sharing"",""ราชบุรี!J439"")"),1)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IFERROR(__xludf.DUMMYFUNCTION("IMPORTRANGE(""https://docs.google.com/spreadsheets/d/1SX6NBoVAgQJ6U1MVXOaj8PK2l7WJ3RER9xtqwdhxkhw/edit?usp=sharing"",""ราชบุรี!J440"")"),1)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IFERROR(__xludf.DUMMYFUNCTION("IMPORTRANGE(""https://docs.google.com/spreadsheets/d/1SX6NBoVAgQJ6U1MVXOaj8PK2l7WJ3RER9xtqwdhxkhw/edit?usp=sharing"",""ราชบุรี!J441"")"),1)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IFERROR(__xludf.DUMMYFUNCTION("IMPORTRANGE(""https://docs.google.com/spreadsheets/d/1SX6NBoVAgQJ6U1MVXOaj8PK2l7WJ3RER9xtqwdhxkhw/edit?usp=sharing"",""ราชบุรี!I442"")"),22)</f>
        <v>22</v>
      </c>
      <c r="J547" s="189">
        <f ca="1">IFERROR(__xludf.DUMMYFUNCTION("IMPORTRANGE(""https://docs.google.com/spreadsheets/d/1SX6NBoVAgQJ6U1MVXOaj8PK2l7WJ3RER9xtqwdhxkhw/edit?usp=sharing"",""ราชบุรี!J442"")"),22)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IFERROR(__xludf.DUMMYFUNCTION("IMPORTRANGE(""https://docs.google.com/spreadsheets/d/1SX6NBoVAgQJ6U1MVXOaj8PK2l7WJ3RER9xtqwdhxkhw/edit?usp=sharing"",""ราชบุรี!J166"")"),0)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IFERROR(__xludf.DUMMYFUNCTION("IMPORTRANGE(""https://docs.google.com/spreadsheets/d/1SX6NBoVAgQJ6U1MVXOaj8PK2l7WJ3RER9xtqwdhxkhw/edit?usp=sharing"",""ราชบุรี!J444"")"),1)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IFERROR(__xludf.DUMMYFUNCTION("IMPORTRANGE(""https://docs.google.com/spreadsheets/d/1SX6NBoVAgQJ6U1MVXOaj8PK2l7WJ3RER9xtqwdhxkhw/edit?usp=sharing"",""ราชบุรี!L447"")"),0)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IFERROR(__xludf.DUMMYFUNCTION("IMPORTRANGE(""https://docs.google.com/spreadsheets/d/1SX6NBoVAgQJ6U1MVXOaj8PK2l7WJ3RER9xtqwdhxkhw/edit?usp=sharing"",""ราชบุรี!M447"")"),0)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IFERROR(__xludf.DUMMYFUNCTION("IMPORTRANGE(""https://docs.google.com/spreadsheets/d/1SX6NBoVAgQJ6U1MVXOaj8PK2l7WJ3RER9xtqwdhxkhw/edit?usp=sharing"",""ราชบุรี!L448"")"),0)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IFERROR(__xludf.DUMMYFUNCTION("IMPORTRANGE(""https://docs.google.com/spreadsheets/d/1SX6NBoVAgQJ6U1MVXOaj8PK2l7WJ3RER9xtqwdhxkhw/edit?usp=sharing"",""ราชบุรี!M448"")"),0)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IFERROR(__xludf.DUMMYFUNCTION("IMPORTRANGE(""https://docs.google.com/spreadsheets/d/1SX6NBoVAgQJ6U1MVXOaj8PK2l7WJ3RER9xtqwdhxkhw/edit?usp=sharing"",""ราชบุรี!L449"")"),0)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IFERROR(__xludf.DUMMYFUNCTION("IMPORTRANGE(""https://docs.google.com/spreadsheets/d/1SX6NBoVAgQJ6U1MVXOaj8PK2l7WJ3RER9xtqwdhxkhw/edit?usp=sharing"",""ราชบุรี!M449"")"),0)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IFERROR(__xludf.DUMMYFUNCTION("IMPORTRANGE(""https://docs.google.com/spreadsheets/d/1SX6NBoVAgQJ6U1MVXOaj8PK2l7WJ3RER9xtqwdhxkhw/edit?usp=sharing"",""ราชบุรี!L450"")"),0)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IFERROR(__xludf.DUMMYFUNCTION("IMPORTRANGE(""https://docs.google.com/spreadsheets/d/1SX6NBoVAgQJ6U1MVXOaj8PK2l7WJ3RER9xtqwdhxkhw/edit?usp=sharing"",""ราชบุรี!M450"")"),0)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IFERROR(__xludf.DUMMYFUNCTION("IMPORTRANGE(""https://docs.google.com/spreadsheets/d/1SX6NBoVAgQJ6U1MVXOaj8PK2l7WJ3RER9xtqwdhxkhw/edit?usp=sharing"",""ราชบุรี!M451"")"),0)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IFERROR(__xludf.DUMMYFUNCTION("IMPORTRANGE(""https://docs.google.com/spreadsheets/d/1SX6NBoVAgQJ6U1MVXOaj8PK2l7WJ3RER9xtqwdhxkhw/edit?usp=sharing"",""ราชบุรี!M452"")"),0)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IFERROR(__xludf.DUMMYFUNCTION("IMPORTRANGE(""https://docs.google.com/spreadsheets/d/1SX6NBoVAgQJ6U1MVXOaj8PK2l7WJ3RER9xtqwdhxkhw/edit?usp=sharing"",""ราชบุรี!M453"")"),0)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IFERROR(__xludf.DUMMYFUNCTION("IMPORTRANGE(""https://docs.google.com/spreadsheets/d/1SX6NBoVAgQJ6U1MVXOaj8PK2l7WJ3RER9xtqwdhxkhw/edit?usp=sharing"",""ราชบุรี!M454"")"),0)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IFERROR(__xludf.DUMMYFUNCTION("IMPORTRANGE(""https://docs.google.com/spreadsheets/d/1SX6NBoVAgQJ6U1MVXOaj8PK2l7WJ3RER9xtqwdhxkhw/edit?usp=sharing"",""ราชบุรี!I455"")"),0)</f>
        <v>0</v>
      </c>
      <c r="J560" s="162">
        <f ca="1">IFERROR(__xludf.DUMMYFUNCTION("IMPORTRANGE(""https://docs.google.com/spreadsheets/d/1SX6NBoVAgQJ6U1MVXOaj8PK2l7WJ3RER9xtqwdhxkhw/edit?usp=sharing"",""ราชบุรี!J455"")"),0)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IFERROR(__xludf.DUMMYFUNCTION("IMPORTRANGE(""https://docs.google.com/spreadsheets/d/1SX6NBoVAgQJ6U1MVXOaj8PK2l7WJ3RER9xtqwdhxkhw/edit?usp=sharing"",""ราชบุรี!I456"")"),0)</f>
        <v>0</v>
      </c>
      <c r="J561" s="204">
        <f ca="1">IFERROR(__xludf.DUMMYFUNCTION("IMPORTRANGE(""https://docs.google.com/spreadsheets/d/1SX6NBoVAgQJ6U1MVXOaj8PK2l7WJ3RER9xtqwdhxkhw/edit?usp=sharing"",""ราชบุรี!J456"")"),0)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IFERROR(__xludf.DUMMYFUNCTION("IMPORTRANGE(""https://docs.google.com/spreadsheets/d/1SX6NBoVAgQJ6U1MVXOaj8PK2l7WJ3RER9xtqwdhxkhw/edit?usp=sharing"",""ราชบุรี!J459"")"),3125)</f>
        <v>3125</v>
      </c>
      <c r="K564" s="372">
        <f ca="1">IF(I564&gt;0,J564*100/I564,0)</f>
        <v>568.18181818181813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IFERROR(__xludf.DUMMYFUNCTION("IMPORTRANGE(""https://docs.google.com/spreadsheets/d/1SX6NBoVAgQJ6U1MVXOaj8PK2l7WJ3RER9xtqwdhxkhw/edit?usp=sharing"",""ราชบุรี!M459"")"),96509.68)</f>
        <v>96509.68</v>
      </c>
      <c r="O564" s="373">
        <f t="shared" ref="O564:O568" ca="1" si="122">+IF(L564&gt;0,N564*100/L564,0)</f>
        <v>76.546383248730962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IFERROR(__xludf.DUMMYFUNCTION("IMPORTRANGE(""https://docs.google.com/spreadsheets/d/1SX6NBoVAgQJ6U1MVXOaj8PK2l7WJ3RER9xtqwdhxkhw/edit?usp=sharing"",""ราชบุรี!L460"")"),0)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IFERROR(__xludf.DUMMYFUNCTION("IMPORTRANGE(""https://docs.google.com/spreadsheets/d/1SX6NBoVAgQJ6U1MVXOaj8PK2l7WJ3RER9xtqwdhxkhw/edit?usp=sharing"",""ราชบุรี!M460"")"),0)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IFERROR(__xludf.DUMMYFUNCTION("IMPORTRANGE(""https://docs.google.com/spreadsheets/d/1SX6NBoVAgQJ6U1MVXOaj8PK2l7WJ3RER9xtqwdhxkhw/edit?usp=sharing"",""ราชบุรี!L461"")"),126080)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IFERROR(__xludf.DUMMYFUNCTION("IMPORTRANGE(""https://docs.google.com/spreadsheets/d/1SX6NBoVAgQJ6U1MVXOaj8PK2l7WJ3RER9xtqwdhxkhw/edit?usp=sharing"",""ราชบุรี!M461"")"),96509.68)</f>
        <v>96509.68</v>
      </c>
      <c r="O566" s="169">
        <f t="shared" ca="1" si="122"/>
        <v>76.546383248730962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IFERROR(__xludf.DUMMYFUNCTION("IMPORTRANGE(""https://docs.google.com/spreadsheets/d/1SX6NBoVAgQJ6U1MVXOaj8PK2l7WJ3RER9xtqwdhxkhw/edit?usp=sharing"",""ราชบุรี!L462"")"),0)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IFERROR(__xludf.DUMMYFUNCTION("IMPORTRANGE(""https://docs.google.com/spreadsheets/d/1SX6NBoVAgQJ6U1MVXOaj8PK2l7WJ3RER9xtqwdhxkhw/edit?usp=sharing"",""ราชบุรี!M462"")"),0)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IFERROR(__xludf.DUMMYFUNCTION("IMPORTRANGE(""https://docs.google.com/spreadsheets/d/1SX6NBoVAgQJ6U1MVXOaj8PK2l7WJ3RER9xtqwdhxkhw/edit?usp=sharing"",""ราชบุรี!L463"")"),126080)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IFERROR(__xludf.DUMMYFUNCTION("IMPORTRANGE(""https://docs.google.com/spreadsheets/d/1SX6NBoVAgQJ6U1MVXOaj8PK2l7WJ3RER9xtqwdhxkhw/edit?usp=sharing"",""ราชบุรี!M463"")"),96509.68)</f>
        <v>96509.68</v>
      </c>
      <c r="O568" s="169">
        <f t="shared" ca="1" si="122"/>
        <v>76.546383248730962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IFERROR(__xludf.DUMMYFUNCTION("IMPORTRANGE(""https://docs.google.com/spreadsheets/d/1SX6NBoVAgQJ6U1MVXOaj8PK2l7WJ3RER9xtqwdhxkhw/edit?usp=sharing"",""ราชบุรี!M464"")"),0)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IFERROR(__xludf.DUMMYFUNCTION("IMPORTRANGE(""https://docs.google.com/spreadsheets/d/1SX6NBoVAgQJ6U1MVXOaj8PK2l7WJ3RER9xtqwdhxkhw/edit?usp=sharing"",""ราชบุรี!M465"")"),0)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IFERROR(__xludf.DUMMYFUNCTION("IMPORTRANGE(""https://docs.google.com/spreadsheets/d/1SX6NBoVAgQJ6U1MVXOaj8PK2l7WJ3RER9xtqwdhxkhw/edit?usp=sharing"",""ราชบุรี!M466"")"),78919.36)</f>
        <v>78919.360000000001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IFERROR(__xludf.DUMMYFUNCTION("IMPORTRANGE(""https://docs.google.com/spreadsheets/d/1SX6NBoVAgQJ6U1MVXOaj8PK2l7WJ3RER9xtqwdhxkhw/edit?usp=sharing"",""ราชบุรี!M467"")"),17590.32)</f>
        <v>17590.32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IFERROR(__xludf.DUMMYFUNCTION("IMPORTRANGE(""https://docs.google.com/spreadsheets/d/1SX6NBoVAgQJ6U1MVXOaj8PK2l7WJ3RER9xtqwdhxkhw/edit?usp=sharing"",""ราชบุรี!J468"")"),3125)</f>
        <v>3125</v>
      </c>
      <c r="K573" s="202">
        <f ca="1">IF(I573&gt;0,J573*100/I573,0)</f>
        <v>568.18181818181813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IFERROR(__xludf.DUMMYFUNCTION("IMPORTRANGE(""https://docs.google.com/spreadsheets/d/1SX6NBoVAgQJ6U1MVXOaj8PK2l7WJ3RER9xtqwdhxkhw/edit?usp=sharing"",""ราชบุรี!I470"")"),0)</f>
        <v>0</v>
      </c>
      <c r="J575" s="198">
        <f ca="1">IFERROR(__xludf.DUMMYFUNCTION("IMPORTRANGE(""https://docs.google.com/spreadsheets/d/1SX6NBoVAgQJ6U1MVXOaj8PK2l7WJ3RER9xtqwdhxkhw/edit?usp=sharing"",""ราชบุรี!J470"")"),9)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IFERROR(__xludf.DUMMYFUNCTION("IMPORTRANGE(""https://docs.google.com/spreadsheets/d/1SX6NBoVAgQJ6U1MVXOaj8PK2l7WJ3RER9xtqwdhxkhw/edit?usp=sharing"",""ราชบุรี!I471"")"),0)</f>
        <v>0</v>
      </c>
      <c r="J576" s="198">
        <f ca="1">IFERROR(__xludf.DUMMYFUNCTION("IMPORTRANGE(""https://docs.google.com/spreadsheets/d/1SX6NBoVAgQJ6U1MVXOaj8PK2l7WJ3RER9xtqwdhxkhw/edit?usp=sharing"",""ราชบุรี!J471"")"),184)</f>
        <v>184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IFERROR(__xludf.DUMMYFUNCTION("IMPORTRANGE(""https://docs.google.com/spreadsheets/d/1SX6NBoVAgQJ6U1MVXOaj8PK2l7WJ3RER9xtqwdhxkhw/edit?usp=sharing"",""ราชบุรี!I472"")"),0)</f>
        <v>0</v>
      </c>
      <c r="J577" s="189">
        <f ca="1">IFERROR(__xludf.DUMMYFUNCTION("IMPORTRANGE(""https://docs.google.com/spreadsheets/d/1SX6NBoVAgQJ6U1MVXOaj8PK2l7WJ3RER9xtqwdhxkhw/edit?usp=sharing"",""ราชบุรี!J472"")"),2936)</f>
        <v>2936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IFERROR(__xludf.DUMMYFUNCTION("IMPORTRANGE(""https://docs.google.com/spreadsheets/d/1SX6NBoVAgQJ6U1MVXOaj8PK2l7WJ3RER9xtqwdhxkhw/edit?usp=sharing"",""ราชบุรี!I473"")"),0)</f>
        <v>0</v>
      </c>
      <c r="J578" s="198">
        <f ca="1">IFERROR(__xludf.DUMMYFUNCTION("IMPORTRANGE(""https://docs.google.com/spreadsheets/d/1SX6NBoVAgQJ6U1MVXOaj8PK2l7WJ3RER9xtqwdhxkhw/edit?usp=sharing"",""ราชบุรี!J473"")"),5)</f>
        <v>5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IFERROR(__xludf.DUMMYFUNCTION("IMPORTRANGE(""https://docs.google.com/spreadsheets/d/1SX6NBoVAgQJ6U1MVXOaj8PK2l7WJ3RER9xtqwdhxkhw/edit?usp=sharing"",""ราชบุรี!I474"")"),0)</f>
        <v>0</v>
      </c>
      <c r="J579" s="198">
        <f ca="1">IFERROR(__xludf.DUMMYFUNCTION("IMPORTRANGE(""https://docs.google.com/spreadsheets/d/1SX6NBoVAgQJ6U1MVXOaj8PK2l7WJ3RER9xtqwdhxkhw/edit?usp=sharing"",""ราชบุรี!J474"")"),0)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IFERROR(__xludf.DUMMYFUNCTION("IMPORTRANGE(""https://docs.google.com/spreadsheets/d/1SX6NBoVAgQJ6U1MVXOaj8PK2l7WJ3RER9xtqwdhxkhw/edit?usp=sharing"",""ราชบุรี!L476"")"),0)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IFERROR(__xludf.DUMMYFUNCTION("IMPORTRANGE(""https://docs.google.com/spreadsheets/d/1SX6NBoVAgQJ6U1MVXOaj8PK2l7WJ3RER9xtqwdhxkhw/edit?usp=sharing"",""ราชบุรี!M476"")"),0)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IFERROR(__xludf.DUMMYFUNCTION("IMPORTRANGE(""https://docs.google.com/spreadsheets/d/1SX6NBoVAgQJ6U1MVXOaj8PK2l7WJ3RER9xtqwdhxkhw/edit?usp=sharing"",""ราชบุรี!L477"")"),0)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IFERROR(__xludf.DUMMYFUNCTION("IMPORTRANGE(""https://docs.google.com/spreadsheets/d/1SX6NBoVAgQJ6U1MVXOaj8PK2l7WJ3RER9xtqwdhxkhw/edit?usp=sharing"",""ราชบุรี!M477"")"),0)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IFERROR(__xludf.DUMMYFUNCTION("IMPORTRANGE(""https://docs.google.com/spreadsheets/d/1SX6NBoVAgQJ6U1MVXOaj8PK2l7WJ3RER9xtqwdhxkhw/edit?usp=sharing"",""ราชบุรี!L478"")"),0)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IFERROR(__xludf.DUMMYFUNCTION("IMPORTRANGE(""https://docs.google.com/spreadsheets/d/1SX6NBoVAgQJ6U1MVXOaj8PK2l7WJ3RER9xtqwdhxkhw/edit?usp=sharing"",""ราชบุรี!M478"")"),0)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IFERROR(__xludf.DUMMYFUNCTION("IMPORTRANGE(""https://docs.google.com/spreadsheets/d/1SX6NBoVAgQJ6U1MVXOaj8PK2l7WJ3RER9xtqwdhxkhw/edit?usp=sharing"",""ราชบุรี!L479"")"),0)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IFERROR(__xludf.DUMMYFUNCTION("IMPORTRANGE(""https://docs.google.com/spreadsheets/d/1SX6NBoVAgQJ6U1MVXOaj8PK2l7WJ3RER9xtqwdhxkhw/edit?usp=sharing"",""ราชบุรี!M479"")"),0)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IFERROR(__xludf.DUMMYFUNCTION("IMPORTRANGE(""https://docs.google.com/spreadsheets/d/1SX6NBoVAgQJ6U1MVXOaj8PK2l7WJ3RER9xtqwdhxkhw/edit?usp=sharing"",""ราชบุรี!M480"")"),0)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IFERROR(__xludf.DUMMYFUNCTION("IMPORTRANGE(""https://docs.google.com/spreadsheets/d/1SX6NBoVAgQJ6U1MVXOaj8PK2l7WJ3RER9xtqwdhxkhw/edit?usp=sharing"",""ราชบุรี!M481"")"),0)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IFERROR(__xludf.DUMMYFUNCTION("IMPORTRANGE(""https://docs.google.com/spreadsheets/d/1SX6NBoVAgQJ6U1MVXOaj8PK2l7WJ3RER9xtqwdhxkhw/edit?usp=sharing"",""ราชบุรี!M482"")"),0)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IFERROR(__xludf.DUMMYFUNCTION("IMPORTRANGE(""https://docs.google.com/spreadsheets/d/1SX6NBoVAgQJ6U1MVXOaj8PK2l7WJ3RER9xtqwdhxkhw/edit?usp=sharing"",""ราชบุรี!M483"")"),0)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IFERROR(__xludf.DUMMYFUNCTION("IMPORTRANGE(""https://docs.google.com/spreadsheets/d/1SX6NBoVAgQJ6U1MVXOaj8PK2l7WJ3RER9xtqwdhxkhw/edit?usp=sharing"",""ราชบุรี!I484"")"),0)</f>
        <v>0</v>
      </c>
      <c r="J589" s="188">
        <f ca="1">IFERROR(__xludf.DUMMYFUNCTION("IMPORTRANGE(""https://docs.google.com/spreadsheets/d/1SX6NBoVAgQJ6U1MVXOaj8PK2l7WJ3RER9xtqwdhxkhw/edit?usp=sharing"",""ราชบุรี!J484"")"),0)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8">
        <f ca="1">IFERROR(__xludf.DUMMYFUNCTION("IMPORTRANGE(""https://docs.google.com/spreadsheets/d/1SX6NBoVAgQJ6U1MVXOaj8PK2l7WJ3RER9xtqwdhxkhw/edit?usp=sharing"",""ราชบุรี!J485"")"),0)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IFERROR(__xludf.DUMMYFUNCTION("IMPORTRANGE(""https://docs.google.com/spreadsheets/d/1SX6NBoVAgQJ6U1MVXOaj8PK2l7WJ3RER9xtqwdhxkhw/edit?usp=sharing"",""ราชบุรี!I486"")"),0)</f>
        <v>0</v>
      </c>
      <c r="J591" s="188">
        <f ca="1">IFERROR(__xludf.DUMMYFUNCTION("IMPORTRANGE(""https://docs.google.com/spreadsheets/d/1SX6NBoVAgQJ6U1MVXOaj8PK2l7WJ3RER9xtqwdhxkhw/edit?usp=sharing"",""ราชบุรี!J486"")"),0)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8">
        <f ca="1">IFERROR(__xludf.DUMMYFUNCTION("IMPORTRANGE(""https://docs.google.com/spreadsheets/d/1SX6NBoVAgQJ6U1MVXOaj8PK2l7WJ3RER9xtqwdhxkhw/edit?usp=sharing"",""ราชบุรี!J487"")"),0)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IFERROR(__xludf.DUMMYFUNCTION("IMPORTRANGE(""https://docs.google.com/spreadsheets/d/1SX6NBoVAgQJ6U1MVXOaj8PK2l7WJ3RER9xtqwdhxkhw/edit?usp=sharing"",""ราชบุรี!I488"")"),0)</f>
        <v>0</v>
      </c>
      <c r="J593" s="188">
        <f ca="1">IFERROR(__xludf.DUMMYFUNCTION("IMPORTRANGE(""https://docs.google.com/spreadsheets/d/1SX6NBoVAgQJ6U1MVXOaj8PK2l7WJ3RER9xtqwdhxkhw/edit?usp=sharing"",""ราชบุรี!J488"")"),0)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8">
        <f ca="1">IFERROR(__xludf.DUMMYFUNCTION("IMPORTRANGE(""https://docs.google.com/spreadsheets/d/1SX6NBoVAgQJ6U1MVXOaj8PK2l7WJ3RER9xtqwdhxkhw/edit?usp=sharing"",""ราชบุรี!J489"")"),0)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IFERROR(__xludf.DUMMYFUNCTION("IMPORTRANGE(""https://docs.google.com/spreadsheets/d/1SX6NBoVAgQJ6U1MVXOaj8PK2l7WJ3RER9xtqwdhxkhw/edit?usp=sharing"",""ราชบุรี!I490"")"),0)</f>
        <v>0</v>
      </c>
      <c r="J595" s="188">
        <f ca="1">IFERROR(__xludf.DUMMYFUNCTION("IMPORTRANGE(""https://docs.google.com/spreadsheets/d/1SX6NBoVAgQJ6U1MVXOaj8PK2l7WJ3RER9xtqwdhxkhw/edit?usp=sharing"",""ราชบุรี!J490"")"),0)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IFERROR(__xludf.DUMMYFUNCTION("IMPORTRANGE(""https://docs.google.com/spreadsheets/d/1SX6NBoVAgQJ6U1MVXOaj8PK2l7WJ3RER9xtqwdhxkhw/edit?usp=sharing"",""ราชบุรี!I491"")"),0)</f>
        <v>0</v>
      </c>
      <c r="J596" s="242">
        <f ca="1">IFERROR(__xludf.DUMMYFUNCTION("IMPORTRANGE(""https://docs.google.com/spreadsheets/d/1SX6NBoVAgQJ6U1MVXOaj8PK2l7WJ3RER9xtqwdhxkhw/edit?usp=sharing"",""ราชบุรี!J491"")"),0)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7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IFERROR(__xludf.DUMMYFUNCTION("IMPORTRANGE(""https://docs.google.com/spreadsheets/d/1SX6NBoVAgQJ6U1MVXOaj8PK2l7WJ3RER9xtqwdhxkhw/edit?usp=sharing"",""ราชบุรี!L492"")"),5350)</f>
        <v>5350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5.6074766355140184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IFERROR(__xludf.DUMMYFUNCTION("IMPORTRANGE(""https://docs.google.com/spreadsheets/d/1SX6NBoVAgQJ6U1MVXOaj8PK2l7WJ3RER9xtqwdhxkhw/edit?usp=sharing"",""ราชบุรี!L493"")"),0)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IFERROR(__xludf.DUMMYFUNCTION("IMPORTRANGE(""https://docs.google.com/spreadsheets/d/1SX6NBoVAgQJ6U1MVXOaj8PK2l7WJ3RER9xtqwdhxkhw/edit?usp=sharing"",""ราชบุรี!M493"")"),0)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IFERROR(__xludf.DUMMYFUNCTION("IMPORTRANGE(""https://docs.google.com/spreadsheets/d/1SX6NBoVAgQJ6U1MVXOaj8PK2l7WJ3RER9xtqwdhxkhw/edit?usp=sharing"",""ราชบุรี!L494"")"),5350)</f>
        <v>5350</v>
      </c>
      <c r="M599" s="165"/>
      <c r="N599" s="169">
        <f ca="1">IFERROR(__xludf.DUMMYFUNCTION("IMPORTRANGE(""https://docs.google.com/spreadsheets/d/1SX6NBoVAgQJ6U1MVXOaj8PK2l7WJ3RER9xtqwdhxkhw/edit?usp=sharing"",""ราชบุรี!M494"")"),300)</f>
        <v>300</v>
      </c>
      <c r="O599" s="169">
        <f t="shared" ca="1" si="126"/>
        <v>5.6074766355140184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IFERROR(__xludf.DUMMYFUNCTION("IMPORTRANGE(""https://docs.google.com/spreadsheets/d/1SX6NBoVAgQJ6U1MVXOaj8PK2l7WJ3RER9xtqwdhxkhw/edit?usp=sharing"",""ราชบุรี!L495"")"),0)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IFERROR(__xludf.DUMMYFUNCTION("IMPORTRANGE(""https://docs.google.com/spreadsheets/d/1SX6NBoVAgQJ6U1MVXOaj8PK2l7WJ3RER9xtqwdhxkhw/edit?usp=sharing"",""ราชบุรี!M495"")"),0)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IFERROR(__xludf.DUMMYFUNCTION("IMPORTRANGE(""https://docs.google.com/spreadsheets/d/1SX6NBoVAgQJ6U1MVXOaj8PK2l7WJ3RER9xtqwdhxkhw/edit?usp=sharing"",""ราชบุรี!L496"")"),5350)</f>
        <v>5350</v>
      </c>
      <c r="M601" s="169"/>
      <c r="N601" s="169">
        <f ca="1">IFERROR(__xludf.DUMMYFUNCTION("IMPORTRANGE(""https://docs.google.com/spreadsheets/d/1SX6NBoVAgQJ6U1MVXOaj8PK2l7WJ3RER9xtqwdhxkhw/edit?usp=sharing"",""ราชบุรี!M496"")"),300)</f>
        <v>300</v>
      </c>
      <c r="O601" s="169">
        <f t="shared" ca="1" si="126"/>
        <v>5.6074766355140184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IFERROR(__xludf.DUMMYFUNCTION("IMPORTRANGE(""https://docs.google.com/spreadsheets/d/1SX6NBoVAgQJ6U1MVXOaj8PK2l7WJ3RER9xtqwdhxkhw/edit?usp=sharing"",""ราชบุรี!M497"")"),0)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IFERROR(__xludf.DUMMYFUNCTION("IMPORTRANGE(""https://docs.google.com/spreadsheets/d/1SX6NBoVAgQJ6U1MVXOaj8PK2l7WJ3RER9xtqwdhxkhw/edit?usp=sharing"",""ราชบุรี!M498"")"),0)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IFERROR(__xludf.DUMMYFUNCTION("IMPORTRANGE(""https://docs.google.com/spreadsheets/d/1SX6NBoVAgQJ6U1MVXOaj8PK2l7WJ3RER9xtqwdhxkhw/edit?usp=sharing"",""ราชบุรี!J502"")"),0)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IFERROR(__xludf.DUMMYFUNCTION("IMPORTRANGE(""https://docs.google.com/spreadsheets/d/1SX6NBoVAgQJ6U1MVXOaj8PK2l7WJ3RER9xtqwdhxkhw/edit?usp=sharing"",""ราชบุรี!J503"")"),1)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IFERROR(__xludf.DUMMYFUNCTION("IMPORTRANGE(""https://docs.google.com/spreadsheets/d/1SX6NBoVAgQJ6U1MVXOaj8PK2l7WJ3RER9xtqwdhxkhw/edit?usp=sharing"",""ราชบุรี!J166"")"),0)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IFERROR(__xludf.DUMMYFUNCTION("IMPORTRANGE(""https://docs.google.com/spreadsheets/d/1SX6NBoVAgQJ6U1MVXOaj8PK2l7WJ3RER9xtqwdhxkhw/edit?usp=sharing"",""ราชบุรี!J166"")"),0)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IFERROR(__xludf.DUMMYFUNCTION("IMPORTRANGE(""https://docs.google.com/spreadsheets/d/1SX6NBoVAgQJ6U1MVXOaj8PK2l7WJ3RER9xtqwdhxkhw/edit?usp=sharing"",""ราชบุรี!I506"")"),50)</f>
        <v>50</v>
      </c>
      <c r="J611" s="162">
        <f ca="1">IFERROR(__xludf.DUMMYFUNCTION("IMPORTRANGE(""https://docs.google.com/spreadsheets/d/1SX6NBoVAgQJ6U1MVXOaj8PK2l7WJ3RER9xtqwdhxkhw/edit?usp=sharing"",""ราชบุรี!J506"")"),0)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IFERROR(__xludf.DUMMYFUNCTION("IMPORTRANGE(""https://docs.google.com/spreadsheets/d/1SX6NBoVAgQJ6U1MVXOaj8PK2l7WJ3RER9xtqwdhxkhw/edit?usp=sharing"",""ราชบุรี!I507"")"),0)</f>
        <v>0</v>
      </c>
      <c r="J612" s="198">
        <f ca="1">IFERROR(__xludf.DUMMYFUNCTION("IMPORTRANGE(""https://docs.google.com/spreadsheets/d/1SX6NBoVAgQJ6U1MVXOaj8PK2l7WJ3RER9xtqwdhxkhw/edit?usp=sharing"",""ราชบุรี!J507"")"),0)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IFERROR(__xludf.DUMMYFUNCTION("IMPORTRANGE(""https://docs.google.com/spreadsheets/d/1SX6NBoVAgQJ6U1MVXOaj8PK2l7WJ3RER9xtqwdhxkhw/edit?usp=sharing"",""ราชบุรี!I508"")"),0)</f>
        <v>0</v>
      </c>
      <c r="J613" s="198">
        <f ca="1">IFERROR(__xludf.DUMMYFUNCTION("IMPORTRANGE(""https://docs.google.com/spreadsheets/d/1SX6NBoVAgQJ6U1MVXOaj8PK2l7WJ3RER9xtqwdhxkhw/edit?usp=sharing"",""ราชบุรี!J508"")"),0)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IFERROR(__xludf.DUMMYFUNCTION("IMPORTRANGE(""https://docs.google.com/spreadsheets/d/1SX6NBoVAgQJ6U1MVXOaj8PK2l7WJ3RER9xtqwdhxkhw/edit?usp=sharing"",""ราชบุรี!I509"")"),0)</f>
        <v>0</v>
      </c>
      <c r="J614" s="198">
        <f ca="1">IFERROR(__xludf.DUMMYFUNCTION("IMPORTRANGE(""https://docs.google.com/spreadsheets/d/1SX6NBoVAgQJ6U1MVXOaj8PK2l7WJ3RER9xtqwdhxkhw/edit?usp=sharing"",""ราชบุรี!J509"")"),0)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IFERROR(__xludf.DUMMYFUNCTION("IMPORTRANGE(""https://docs.google.com/spreadsheets/d/1SX6NBoVAgQJ6U1MVXOaj8PK2l7WJ3RER9xtqwdhxkhw/edit?usp=sharing"",""ราชบุรี!I510"")"),0)</f>
        <v>0</v>
      </c>
      <c r="J615" s="198">
        <f ca="1">IFERROR(__xludf.DUMMYFUNCTION("IMPORTRANGE(""https://docs.google.com/spreadsheets/d/1SX6NBoVAgQJ6U1MVXOaj8PK2l7WJ3RER9xtqwdhxkhw/edit?usp=sharing"",""ราชบุรี!J510"")"),0)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IFERROR(__xludf.DUMMYFUNCTION("IMPORTRANGE(""https://docs.google.com/spreadsheets/d/1SX6NBoVAgQJ6U1MVXOaj8PK2l7WJ3RER9xtqwdhxkhw/edit?usp=sharing"",""ราชบุรี!I511"")"),0)</f>
        <v>0</v>
      </c>
      <c r="J616" s="198">
        <f ca="1">IFERROR(__xludf.DUMMYFUNCTION("IMPORTRANGE(""https://docs.google.com/spreadsheets/d/1SX6NBoVAgQJ6U1MVXOaj8PK2l7WJ3RER9xtqwdhxkhw/edit?usp=sharing"",""ราชบุรี!J511"")"),0)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IFERROR(__xludf.DUMMYFUNCTION("IMPORTRANGE(""https://docs.google.com/spreadsheets/d/1SX6NBoVAgQJ6U1MVXOaj8PK2l7WJ3RER9xtqwdhxkhw/edit?usp=sharing"",""ราชบุรี!I512"")"),0)</f>
        <v>0</v>
      </c>
      <c r="J617" s="188">
        <f ca="1">IFERROR(__xludf.DUMMYFUNCTION("IMPORTRANGE(""https://docs.google.com/spreadsheets/d/1SX6NBoVAgQJ6U1MVXOaj8PK2l7WJ3RER9xtqwdhxkhw/edit?usp=sharing"",""ราชบุรี!J512"")"),0)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IFERROR(__xludf.DUMMYFUNCTION("IMPORTRANGE(""https://docs.google.com/spreadsheets/d/1SX6NBoVAgQJ6U1MVXOaj8PK2l7WJ3RER9xtqwdhxkhw/edit?usp=sharing"",""ราชบุรี!I513"")"),0)</f>
        <v>0</v>
      </c>
      <c r="J618" s="189">
        <f ca="1">IFERROR(__xludf.DUMMYFUNCTION("IMPORTRANGE(""https://docs.google.com/spreadsheets/d/1SX6NBoVAgQJ6U1MVXOaj8PK2l7WJ3RER9xtqwdhxkhw/edit?usp=sharing"",""ราชบุรี!J513"")"),0)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IFERROR(__xludf.DUMMYFUNCTION("IMPORTRANGE(""https://docs.google.com/spreadsheets/d/1SX6NBoVAgQJ6U1MVXOaj8PK2l7WJ3RER9xtqwdhxkhw/edit?usp=sharing"",""ราชบุรี!I514"")"),0)</f>
        <v>0</v>
      </c>
      <c r="J619" s="189">
        <f ca="1">IFERROR(__xludf.DUMMYFUNCTION("IMPORTRANGE(""https://docs.google.com/spreadsheets/d/1SX6NBoVAgQJ6U1MVXOaj8PK2l7WJ3RER9xtqwdhxkhw/edit?usp=sharing"",""ราชบุรี!J514"")"),0)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IFERROR(__xludf.DUMMYFUNCTION("IMPORTRANGE(""https://docs.google.com/spreadsheets/d/1SX6NBoVAgQJ6U1MVXOaj8PK2l7WJ3RER9xtqwdhxkhw/edit?usp=sharing"",""ราชบุรี!I515"")"),0)</f>
        <v>0</v>
      </c>
      <c r="J620" s="203">
        <f ca="1">IFERROR(__xludf.DUMMYFUNCTION("IMPORTRANGE(""https://docs.google.com/spreadsheets/d/1SX6NBoVAgQJ6U1MVXOaj8PK2l7WJ3RER9xtqwdhxkhw/edit?usp=sharing"",""ราชบุรี!J515"")"),0)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IFERROR(__xludf.DUMMYFUNCTION("IMPORTRANGE(""https://docs.google.com/spreadsheets/d/1SX6NBoVAgQJ6U1MVXOaj8PK2l7WJ3RER9xtqwdhxkhw/edit?usp=sharing"",""ราชบุรี!I516"")"),0)</f>
        <v>0</v>
      </c>
      <c r="J621" s="203">
        <f ca="1">IFERROR(__xludf.DUMMYFUNCTION("IMPORTRANGE(""https://docs.google.com/spreadsheets/d/1SX6NBoVAgQJ6U1MVXOaj8PK2l7WJ3RER9xtqwdhxkhw/edit?usp=sharing"",""ราชบุรี!J516"")"),0)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IFERROR(__xludf.DUMMYFUNCTION("IMPORTRANGE(""https://docs.google.com/spreadsheets/d/1SX6NBoVAgQJ6U1MVXOaj8PK2l7WJ3RER9xtqwdhxkhw/edit?usp=sharing"",""ราชบุรี!I517"")"),0)</f>
        <v>0</v>
      </c>
      <c r="J622" s="189">
        <f ca="1">IFERROR(__xludf.DUMMYFUNCTION("IMPORTRANGE(""https://docs.google.com/spreadsheets/d/1SX6NBoVAgQJ6U1MVXOaj8PK2l7WJ3RER9xtqwdhxkhw/edit?usp=sharing"",""ราชบุรี!J517"")"),0)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IFERROR(__xludf.DUMMYFUNCTION("IMPORTRANGE(""https://docs.google.com/spreadsheets/d/1SX6NBoVAgQJ6U1MVXOaj8PK2l7WJ3RER9xtqwdhxkhw/edit?usp=sharing"",""ราชบุรี!I518"")"),0)</f>
        <v>0</v>
      </c>
      <c r="J623" s="189">
        <f ca="1">IFERROR(__xludf.DUMMYFUNCTION("IMPORTRANGE(""https://docs.google.com/spreadsheets/d/1SX6NBoVAgQJ6U1MVXOaj8PK2l7WJ3RER9xtqwdhxkhw/edit?usp=sharing"",""ราชบุรี!J518"")"),0)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IFERROR(__xludf.DUMMYFUNCTION("IMPORTRANGE(""https://docs.google.com/spreadsheets/d/1SX6NBoVAgQJ6U1MVXOaj8PK2l7WJ3RER9xtqwdhxkhw/edit?usp=sharing"",""ราชบุรี!I519"")"),0)</f>
        <v>0</v>
      </c>
      <c r="J624" s="188">
        <f ca="1">IFERROR(__xludf.DUMMYFUNCTION("IMPORTRANGE(""https://docs.google.com/spreadsheets/d/1SX6NBoVAgQJ6U1MVXOaj8PK2l7WJ3RER9xtqwdhxkhw/edit?usp=sharing"",""ราชบุรี!J519"")"),0)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IFERROR(__xludf.DUMMYFUNCTION("IMPORTRANGE(""https://docs.google.com/spreadsheets/d/1SX6NBoVAgQJ6U1MVXOaj8PK2l7WJ3RER9xtqwdhxkhw/edit?usp=sharing"",""ราชบุรี!I520"")"),0)</f>
        <v>0</v>
      </c>
      <c r="J625" s="189">
        <f ca="1">IFERROR(__xludf.DUMMYFUNCTION("IMPORTRANGE(""https://docs.google.com/spreadsheets/d/1SX6NBoVAgQJ6U1MVXOaj8PK2l7WJ3RER9xtqwdhxkhw/edit?usp=sharing"",""ราชบุรี!J520"")"),0)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IFERROR(__xludf.DUMMYFUNCTION("IMPORTRANGE(""https://docs.google.com/spreadsheets/d/1SX6NBoVAgQJ6U1MVXOaj8PK2l7WJ3RER9xtqwdhxkhw/edit?usp=sharing"",""ราชบุรี!I521"")"),0)</f>
        <v>0</v>
      </c>
      <c r="J626" s="189">
        <f ca="1">IFERROR(__xludf.DUMMYFUNCTION("IMPORTRANGE(""https://docs.google.com/spreadsheets/d/1SX6NBoVAgQJ6U1MVXOaj8PK2l7WJ3RER9xtqwdhxkhw/edit?usp=sharing"",""ราชบุรี!J521"")"),0)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IFERROR(__xludf.DUMMYFUNCTION("IMPORTRANGE(""https://docs.google.com/spreadsheets/d/1SX6NBoVAgQJ6U1MVXOaj8PK2l7WJ3RER9xtqwdhxkhw/edit?usp=sharing"",""ราชบุรี!I523"")"),1799548.1)</f>
        <v>1799548.1</v>
      </c>
      <c r="J628" s="342">
        <f ca="1">IFERROR(__xludf.DUMMYFUNCTION("IMPORTRANGE(""https://docs.google.com/spreadsheets/d/1SX6NBoVAgQJ6U1MVXOaj8PK2l7WJ3RER9xtqwdhxkhw/edit?usp=sharing"",""ราชบุรี!J523"")"),1309050.45)</f>
        <v>1309050.45</v>
      </c>
      <c r="K628" s="343">
        <f t="shared" ref="K628:K635" ca="1" si="129">IF(I628&gt;0,J628*100/I628,0)</f>
        <v>72.74328760648298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IFERROR(__xludf.DUMMYFUNCTION("IMPORTRANGE(""https://docs.google.com/spreadsheets/d/1SX6NBoVAgQJ6U1MVXOaj8PK2l7WJ3RER9xtqwdhxkhw/edit?usp=sharing"",""ราชบุรี!I524"")"),117)</f>
        <v>117</v>
      </c>
      <c r="J629" s="342">
        <f ca="1">IFERROR(__xludf.DUMMYFUNCTION("IMPORTRANGE(""https://docs.google.com/spreadsheets/d/1SX6NBoVAgQJ6U1MVXOaj8PK2l7WJ3RER9xtqwdhxkhw/edit?usp=sharing"",""ราชบุรี!J524"")"),94)</f>
        <v>94</v>
      </c>
      <c r="K629" s="343">
        <f t="shared" ca="1" si="129"/>
        <v>80.341880341880341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IFERROR(__xludf.DUMMYFUNCTION("IMPORTRANGE(""https://docs.google.com/spreadsheets/d/1SX6NBoVAgQJ6U1MVXOaj8PK2l7WJ3RER9xtqwdhxkhw/edit?usp=sharing"",""ราชบุรี!I525"")"),4148676.3)</f>
        <v>4148676.3</v>
      </c>
      <c r="J630" s="342">
        <f ca="1">IFERROR(__xludf.DUMMYFUNCTION("IMPORTRANGE(""https://docs.google.com/spreadsheets/d/1SX6NBoVAgQJ6U1MVXOaj8PK2l7WJ3RER9xtqwdhxkhw/edit?usp=sharing"",""ราชบุรี!J525"")"),848295.26)</f>
        <v>848295.26</v>
      </c>
      <c r="K630" s="343">
        <f t="shared" ca="1" si="129"/>
        <v>20.447371611036512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IFERROR(__xludf.DUMMYFUNCTION("IMPORTRANGE(""https://docs.google.com/spreadsheets/d/1SX6NBoVAgQJ6U1MVXOaj8PK2l7WJ3RER9xtqwdhxkhw/edit?usp=sharing"",""ราชบุรี!I526"")"),203)</f>
        <v>203</v>
      </c>
      <c r="J631" s="342">
        <f ca="1">IFERROR(__xludf.DUMMYFUNCTION("IMPORTRANGE(""https://docs.google.com/spreadsheets/d/1SX6NBoVAgQJ6U1MVXOaj8PK2l7WJ3RER9xtqwdhxkhw/edit?usp=sharing"",""ราชบุรี!J526"")"),128)</f>
        <v>128</v>
      </c>
      <c r="K631" s="343">
        <f t="shared" ca="1" si="129"/>
        <v>63.054187192118228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IFERROR(__xludf.DUMMYFUNCTION("IMPORTRANGE(""https://docs.google.com/spreadsheets/d/1SX6NBoVAgQJ6U1MVXOaj8PK2l7WJ3RER9xtqwdhxkhw/edit?usp=sharing"",""ราชบุรี!I527"")"),130782.22)</f>
        <v>130782.22</v>
      </c>
      <c r="J632" s="342">
        <f ca="1">IFERROR(__xludf.DUMMYFUNCTION("IMPORTRANGE(""https://docs.google.com/spreadsheets/d/1SX6NBoVAgQJ6U1MVXOaj8PK2l7WJ3RER9xtqwdhxkhw/edit?usp=sharing"",""ราชบุรี!J527"")"),54871.57)</f>
        <v>54871.57</v>
      </c>
      <c r="K632" s="343">
        <f t="shared" ca="1" si="129"/>
        <v>41.95644484395509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IFERROR(__xludf.DUMMYFUNCTION("IMPORTRANGE(""https://docs.google.com/spreadsheets/d/1SX6NBoVAgQJ6U1MVXOaj8PK2l7WJ3RER9xtqwdhxkhw/edit?usp=sharing"",""ราชบุรี!I528"")"),15)</f>
        <v>15</v>
      </c>
      <c r="J633" s="342">
        <f ca="1">IFERROR(__xludf.DUMMYFUNCTION("IMPORTRANGE(""https://docs.google.com/spreadsheets/d/1SX6NBoVAgQJ6U1MVXOaj8PK2l7WJ3RER9xtqwdhxkhw/edit?usp=sharing"",""ราชบุรี!J528"")"),8)</f>
        <v>8</v>
      </c>
      <c r="K633" s="343">
        <f t="shared" ca="1" si="129"/>
        <v>53.333333333333336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IFERROR(__xludf.DUMMYFUNCTION("IMPORTRANGE(""https://docs.google.com/spreadsheets/d/1SX6NBoVAgQJ6U1MVXOaj8PK2l7WJ3RER9xtqwdhxkhw/edit?usp=sharing"",""ราชบุรี!I529"")"),2000000)</f>
        <v>2000000</v>
      </c>
      <c r="J634" s="342">
        <f ca="1">IFERROR(__xludf.DUMMYFUNCTION("IMPORTRANGE(""https://docs.google.com/spreadsheets/d/1SX6NBoVAgQJ6U1MVXOaj8PK2l7WJ3RER9xtqwdhxkhw/edit?usp=sharing"",""ราชบุรี!J529"")"),1080000)</f>
        <v>1080000</v>
      </c>
      <c r="K634" s="343">
        <f t="shared" ca="1" si="129"/>
        <v>54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IFERROR(__xludf.DUMMYFUNCTION("IMPORTRANGE(""https://docs.google.com/spreadsheets/d/1SX6NBoVAgQJ6U1MVXOaj8PK2l7WJ3RER9xtqwdhxkhw/edit?usp=sharing"",""ราชบุรี!I530"")"),76)</f>
        <v>76</v>
      </c>
      <c r="J635" s="504">
        <f ca="1">IFERROR(__xludf.DUMMYFUNCTION("IMPORTRANGE(""https://docs.google.com/spreadsheets/d/1SX6NBoVAgQJ6U1MVXOaj8PK2l7WJ3RER9xtqwdhxkhw/edit?usp=sharing"",""ราชบุรี!J530"")"),36)</f>
        <v>36</v>
      </c>
      <c r="K635" s="486">
        <f t="shared" ca="1" si="129"/>
        <v>47.368421052631582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1520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1520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1520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IFERROR(__xludf.DUMMYFUNCTION("IMPORTRANGE(""https://docs.google.com/spreadsheets/d/1SX6NBoVAgQJ6U1MVXOaj8PK2l7WJ3RER9xtqwdhxkhw/edit#gid=346597447"",""ราชบุรี!J541"")"),0)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IFERROR(__xludf.DUMMYFUNCTION("IMPORTRANGE(""https://docs.google.com/spreadsheets/d/1SX6NBoVAgQJ6U1MVXOaj8PK2l7WJ3RER9xtqwdhxkhw/edit#gid=346597447"",""ราชบุรี!J542"")"),0)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IFERROR(__xludf.DUMMYFUNCTION("IMPORTRANGE(""https://docs.google.com/spreadsheets/d/1SX6NBoVAgQJ6U1MVXOaj8PK2l7WJ3RER9xtqwdhxkhw/edit#gid=346597447"",""ราชบุรี!I543"")"),16)</f>
        <v>16</v>
      </c>
      <c r="J648" s="536">
        <f ca="1">IFERROR(__xludf.DUMMYFUNCTION("IMPORTRANGE(""https://docs.google.com/spreadsheets/d/1SX6NBoVAgQJ6U1MVXOaj8PK2l7WJ3RER9xtqwdhxkhw/edit#gid=346597447"",""ราชบุรี!J543"")"),0)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IFERROR(__xludf.DUMMYFUNCTION("IMPORTRANGE(""https://docs.google.com/spreadsheets/d/1SX6NBoVAgQJ6U1MVXOaj8PK2l7WJ3RER9xtqwdhxkhw/edit#gid=346597447"",""ราชบุรี!L543"")"),1280)</f>
        <v>1280</v>
      </c>
      <c r="M648" s="521"/>
      <c r="N648" s="538">
        <f ca="1">IFERROR(__xludf.DUMMYFUNCTION("IMPORTRANGE(""https://docs.google.com/spreadsheets/d/1SX6NBoVAgQJ6U1MVXOaj8PK2l7WJ3RER9xtqwdhxkhw/edit#gid=346597447"",""ราชบุรี!M543"")"),0)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IFERROR(__xludf.DUMMYFUNCTION("IMPORTRANGE(""https://docs.google.com/spreadsheets/d/1SX6NBoVAgQJ6U1MVXOaj8PK2l7WJ3RER9xtqwdhxkhw/edit#gid=346597447"",""ราชบุรี!I544"")"),2)</f>
        <v>2</v>
      </c>
      <c r="J649" s="536">
        <f ca="1">IFERROR(__xludf.DUMMYFUNCTION("IMPORTRANGE(""https://docs.google.com/spreadsheets/d/1SX6NBoVAgQJ6U1MVXOaj8PK2l7WJ3RER9xtqwdhxkhw/edit#gid=346597447"",""ราชบุรี!J544"")"),0)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IFERROR(__xludf.DUMMYFUNCTION("IMPORTRANGE(""https://docs.google.com/spreadsheets/d/1SX6NBoVAgQJ6U1MVXOaj8PK2l7WJ3RER9xtqwdhxkhw/edit#gid=346597447"",""ราชบุรี!L544"")"),240)</f>
        <v>240</v>
      </c>
      <c r="M649" s="521"/>
      <c r="N649" s="538">
        <f ca="1">IFERROR(__xludf.DUMMYFUNCTION("IMPORTRANGE(""https://docs.google.com/spreadsheets/d/1SX6NBoVAgQJ6U1MVXOaj8PK2l7WJ3RER9xtqwdhxkhw/edit#gid=346597447"",""ราชบุรี!M544"")"),0)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IFERROR(__xludf.DUMMYFUNCTION("IMPORTRANGE(""https://docs.google.com/spreadsheets/d/1SX6NBoVAgQJ6U1MVXOaj8PK2l7WJ3RER9xtqwdhxkhw/edit#gid=346597447"",""ราชบุรี!I545"")"),0)</f>
        <v>0</v>
      </c>
      <c r="J650" s="536">
        <f ca="1">IFERROR(__xludf.DUMMYFUNCTION("IMPORTRANGE(""https://docs.google.com/spreadsheets/d/1SX6NBoVAgQJ6U1MVXOaj8PK2l7WJ3RER9xtqwdhxkhw/edit#gid=346597447"",""ราชบุรี!J545"")"),0)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IFERROR(__xludf.DUMMYFUNCTION("IMPORTRANGE(""https://docs.google.com/spreadsheets/d/1SX6NBoVAgQJ6U1MVXOaj8PK2l7WJ3RER9xtqwdhxkhw/edit#gid=346597447"",""ราชบุรี!L545"")"),0)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IFERROR(__xludf.DUMMYFUNCTION("IMPORTRANGE(""https://docs.google.com/spreadsheets/d/1SX6NBoVAgQJ6U1MVXOaj8PK2l7WJ3RER9xtqwdhxkhw/edit#gid=346597447"",""ราชบุรี!M545"")"),0)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IFERROR(__xludf.DUMMYFUNCTION("IMPORTRANGE(""https://docs.google.com/spreadsheets/d/1SX6NBoVAgQJ6U1MVXOaj8PK2l7WJ3RER9xtqwdhxkhw/edit#gid=346597447"",""ราชบุรี!I546"")"),0)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IFERROR(__xludf.DUMMYFUNCTION("IMPORTRANGE(""https://docs.google.com/spreadsheets/d/1SX6NBoVAgQJ6U1MVXOaj8PK2l7WJ3RER9xtqwdhxkhw/edit#gid=346597447"",""ราชบุรี!L546"")"),0)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IFERROR(__xludf.DUMMYFUNCTION("IMPORTRANGE(""https://docs.google.com/spreadsheets/d/1SX6NBoVAgQJ6U1MVXOaj8PK2l7WJ3RER9xtqwdhxkhw/edit#gid=346597447"",""ราชบุรี!M546"")"),0)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IFERROR(__xludf.DUMMYFUNCTION("IMPORTRANGE(""https://docs.google.com/spreadsheets/d/1SX6NBoVAgQJ6U1MVXOaj8PK2l7WJ3RER9xtqwdhxkhw/edit#gid=346597447"",""ราชบุรี!J547"")"),0)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IFERROR(__xludf.DUMMYFUNCTION("IMPORTRANGE(""https://docs.google.com/spreadsheets/d/1SX6NBoVAgQJ6U1MVXOaj8PK2l7WJ3RER9xtqwdhxkhw/edit#gid=346597447"",""ราชบุรี!J548"")"),0)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IFERROR(__xludf.DUMMYFUNCTION("IMPORTRANGE(""https://docs.google.com/spreadsheets/d/1SX6NBoVAgQJ6U1MVXOaj8PK2l7WJ3RER9xtqwdhxkhw/edit#gid=346597447"",""ราชบุรี!J550"")"),0)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IFERROR(__xludf.DUMMYFUNCTION("IMPORTRANGE(""https://docs.google.com/spreadsheets/d/1SX6NBoVAgQJ6U1MVXOaj8PK2l7WJ3RER9xtqwdhxkhw/edit#gid=346597447"",""ราชบุรี!J551"")"),0)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IFERROR(__xludf.DUMMYFUNCTION("IMPORTRANGE(""https://docs.google.com/spreadsheets/d/1SX6NBoVAgQJ6U1MVXOaj8PK2l7WJ3RER9xtqwdhxkhw/edit#gid=346597447"",""ราชบุรี!J552"")"),0)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IFERROR(__xludf.DUMMYFUNCTION("IMPORTRANGE(""https://docs.google.com/spreadsheets/d/1SX6NBoVAgQJ6U1MVXOaj8PK2l7WJ3RER9xtqwdhxkhw/edit#gid=346597447"",""ราชบุรี!J553"")"),0)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IFERROR(__xludf.DUMMYFUNCTION("IMPORTRANGE(""https://docs.google.com/spreadsheets/d/1SX6NBoVAgQJ6U1MVXOaj8PK2l7WJ3RER9xtqwdhxkhw/edit#gid=346597447"",""ราชบุรี!J554"")"),0)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IFERROR(__xludf.DUMMYFUNCTION("IMPORTRANGE(""https://docs.google.com/spreadsheets/d/1SX6NBoVAgQJ6U1MVXOaj8PK2l7WJ3RER9xtqwdhxkhw/edit#gid=346597447"",""ราชบุรี!J555"")"),0)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IFERROR(__xludf.DUMMYFUNCTION("IMPORTRANGE(""https://docs.google.com/spreadsheets/d/1SX6NBoVAgQJ6U1MVXOaj8PK2l7WJ3RER9xtqwdhxkhw/edit#gid=346597447"",""ราชบุรี!J556"")"),0)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IFERROR(__xludf.DUMMYFUNCTION("IMPORTRANGE(""https://docs.google.com/spreadsheets/d/1SX6NBoVAgQJ6U1MVXOaj8PK2l7WJ3RER9xtqwdhxkhw/edit#gid=346597447"",""ราชบุรี!L556"")"),0)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IFERROR(__xludf.DUMMYFUNCTION("IMPORTRANGE(""https://docs.google.com/spreadsheets/d/1SX6NBoVAgQJ6U1MVXOaj8PK2l7WJ3RER9xtqwdhxkhw/edit#gid=346597447"",""ราชบุรี!M556"")"),0)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IFERROR(__xludf.DUMMYFUNCTION("IMPORTRANGE(""https://docs.google.com/spreadsheets/d/1SX6NBoVAgQJ6U1MVXOaj8PK2l7WJ3RER9xtqwdhxkhw/edit#gid=346597447"",""ราชบุรี!J557"")"),0)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IFERROR(__xludf.DUMMYFUNCTION("IMPORTRANGE(""https://docs.google.com/spreadsheets/d/1SX6NBoVAgQJ6U1MVXOaj8PK2l7WJ3RER9xtqwdhxkhw/edit#gid=346597447"",""ราชบุรี!I558"")"),0)</f>
        <v>0</v>
      </c>
      <c r="J663" s="536">
        <f ca="1">IFERROR(__xludf.DUMMYFUNCTION("IMPORTRANGE(""https://docs.google.com/spreadsheets/d/1SX6NBoVAgQJ6U1MVXOaj8PK2l7WJ3RER9xtqwdhxkhw/edit#gid=346597447"",""ราชบุรี!J558"")"),0)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IFERROR(__xludf.DUMMYFUNCTION("IMPORTRANGE(""https://docs.google.com/spreadsheets/d/1SX6NBoVAgQJ6U1MVXOaj8PK2l7WJ3RER9xtqwdhxkhw/edit#gid=346597447"",""ราชบุรี!I560"")"),0)</f>
        <v>0</v>
      </c>
      <c r="J665" s="536">
        <f ca="1">IFERROR(__xludf.DUMMYFUNCTION("IMPORTRANGE(""https://docs.google.com/spreadsheets/d/1SX6NBoVAgQJ6U1MVXOaj8PK2l7WJ3RER9xtqwdhxkhw/edit#gid=346597447"",""ราชบุรี!J560"")"),0)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IFERROR(__xludf.DUMMYFUNCTION("IMPORTRANGE(""https://docs.google.com/spreadsheets/d/1SX6NBoVAgQJ6U1MVXOaj8PK2l7WJ3RER9xtqwdhxkhw/edit#gid=346597447"",""ราชบุรี!L560"")"),0)</f>
        <v>0</v>
      </c>
      <c r="M665" s="521"/>
      <c r="N665" s="538">
        <f ca="1">IFERROR(__xludf.DUMMYFUNCTION("IMPORTRANGE(""https://docs.google.com/spreadsheets/d/1SX6NBoVAgQJ6U1MVXOaj8PK2l7WJ3RER9xtqwdhxkhw/edit#gid=346597447"",""ราชบุรี!M560"")"),0)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IFERROR(__xludf.DUMMYFUNCTION("IMPORTRANGE(""https://docs.google.com/spreadsheets/d/1SX6NBoVAgQJ6U1MVXOaj8PK2l7WJ3RER9xtqwdhxkhw/edit#gid=346597447"",""ราชบุรี!J561"")"),0)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IFERROR(__xludf.DUMMYFUNCTION("IMPORTRANGE(""https://docs.google.com/spreadsheets/d/1SX6NBoVAgQJ6U1MVXOaj8PK2l7WJ3RER9xtqwdhxkhw/edit#gid=346597447"",""ราชบุรี!J562"")"),0)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IFERROR(__xludf.DUMMYFUNCTION("IMPORTRANGE(""https://docs.google.com/spreadsheets/d/1SX6NBoVAgQJ6U1MVXOaj8PK2l7WJ3RER9xtqwdhxkhw/edit#gid=346597447"",""ราชบุรี!I563"")"),0)</f>
        <v>0</v>
      </c>
      <c r="J668" s="536">
        <f ca="1">IFERROR(__xludf.DUMMYFUNCTION("IMPORTRANGE(""https://docs.google.com/spreadsheets/d/1SX6NBoVAgQJ6U1MVXOaj8PK2l7WJ3RER9xtqwdhxkhw/edit#gid=346597447"",""ราชบุรี!J563"")"),0)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IFERROR(__xludf.DUMMYFUNCTION("IMPORTRANGE(""https://docs.google.com/spreadsheets/d/1SX6NBoVAgQJ6U1MVXOaj8PK2l7WJ3RER9xtqwdhxkhw/edit#gid=346597447"",""ราชบุรี!L563"")"),0)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IFERROR(__xludf.DUMMYFUNCTION("IMPORTRANGE(""https://docs.google.com/spreadsheets/d/1SX6NBoVAgQJ6U1MVXOaj8PK2l7WJ3RER9xtqwdhxkhw/edit#gid=346597447"",""ราชบุรี!M563"")"),0)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IFERROR(__xludf.DUMMYFUNCTION("IMPORTRANGE(""https://docs.google.com/spreadsheets/d/1SX6NBoVAgQJ6U1MVXOaj8PK2l7WJ3RER9xtqwdhxkhw/edit#gid=346597447"",""ราชบุรี!J564"")"),0)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IFERROR(__xludf.DUMMYFUNCTION("IMPORTRANGE(""https://docs.google.com/spreadsheets/d/1SX6NBoVAgQJ6U1MVXOaj8PK2l7WJ3RER9xtqwdhxkhw/edit#gid=346597447"",""ราชบุรี!J565"")"),0)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IFERROR(__xludf.DUMMYFUNCTION("IMPORTRANGE(""https://docs.google.com/spreadsheets/d/1SX6NBoVAgQJ6U1MVXOaj8PK2l7WJ3RER9xtqwdhxkhw/edit#gid=346597447"",""ราชบุรี!I566"")"),0)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IFERROR(__xludf.DUMMYFUNCTION("IMPORTRANGE(""https://docs.google.com/spreadsheets/d/1SX6NBoVAgQJ6U1MVXOaj8PK2l7WJ3RER9xtqwdhxkhw/edit#gid=346597447"",""ราชบุรี!L566"")"),0)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IFERROR(__xludf.DUMMYFUNCTION("IMPORTRANGE(""https://docs.google.com/spreadsheets/d/1SX6NBoVAgQJ6U1MVXOaj8PK2l7WJ3RER9xtqwdhxkhw/edit#gid=346597447"",""ราชบุรี!M566"")"),0)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IFERROR(__xludf.DUMMYFUNCTION("IMPORTRANGE(""https://docs.google.com/spreadsheets/d/1SX6NBoVAgQJ6U1MVXOaj8PK2l7WJ3RER9xtqwdhxkhw/edit#gid=346597447"",""ราชบุรี!J567"")"),0)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IFERROR(__xludf.DUMMYFUNCTION("IMPORTRANGE(""https://docs.google.com/spreadsheets/d/1SX6NBoVAgQJ6U1MVXOaj8PK2l7WJ3RER9xtqwdhxkhw/edit#gid=346597447"",""ราชบุรี!J568"")"),0)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IFERROR(__xludf.DUMMYFUNCTION("IMPORTRANGE(""https://docs.google.com/spreadsheets/d/1SX6NBoVAgQJ6U1MVXOaj8PK2l7WJ3RER9xtqwdhxkhw/edit#gid=346597447"",""ราชบุรี!J569"")"),0)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IFERROR(__xludf.DUMMYFUNCTION("IMPORTRANGE(""https://docs.google.com/spreadsheets/d/1SX6NBoVAgQJ6U1MVXOaj8PK2l7WJ3RER9xtqwdhxkhw/edit#gid=346597447"",""ราชบุรี!J570"")"),0)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IFERROR(__xludf.DUMMYFUNCTION("IMPORTRANGE(""https://docs.google.com/spreadsheets/d/1SX6NBoVAgQJ6U1MVXOaj8PK2l7WJ3RER9xtqwdhxkhw/edit#gid=346597447"",""ราชบุรี!J571"")"),0)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IFERROR(__xludf.DUMMYFUNCTION("IMPORTRANGE(""https://docs.google.com/spreadsheets/d/1SX6NBoVAgQJ6U1MVXOaj8PK2l7WJ3RER9xtqwdhxkhw/edit#gid=346597447"",""ราชบุรี!J572"")"),0)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290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11380766</v>
      </c>
      <c r="M8" s="23">
        <f t="shared" ca="1" si="0"/>
        <v>8003310</v>
      </c>
      <c r="N8" s="23">
        <f t="shared" ca="1" si="0"/>
        <v>8230327.9900000002</v>
      </c>
      <c r="O8" s="22">
        <f t="shared" ref="O8:O16" ca="1" si="1">IF(L8&gt;0,N8*100/L8,0)</f>
        <v>72.3178737705353</v>
      </c>
      <c r="P8" s="22">
        <f t="shared" ref="P8:P16" ca="1" si="2">IF(M8&gt;0,N8*100/M8,0)</f>
        <v>102.83655125191952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11380766</v>
      </c>
      <c r="M10" s="30">
        <f t="shared" ca="1" si="4"/>
        <v>8003310</v>
      </c>
      <c r="N10" s="30">
        <f t="shared" ca="1" si="4"/>
        <v>8230327.9900000002</v>
      </c>
      <c r="O10" s="29">
        <f t="shared" ca="1" si="1"/>
        <v>72.3178737705353</v>
      </c>
      <c r="P10" s="29">
        <f t="shared" ca="1" si="2"/>
        <v>102.83655125191952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7180766</v>
      </c>
      <c r="M12" s="38">
        <f t="shared" ca="1" si="6"/>
        <v>3803310</v>
      </c>
      <c r="N12" s="38">
        <f t="shared" ca="1" si="6"/>
        <v>4030327.9899999998</v>
      </c>
      <c r="O12" s="38">
        <f t="shared" ca="1" si="1"/>
        <v>56.126713918821473</v>
      </c>
      <c r="P12" s="38">
        <f t="shared" ca="1" si="2"/>
        <v>105.9689583546963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2348700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4832066</v>
      </c>
      <c r="M14" s="38">
        <f t="shared" si="8"/>
        <v>0</v>
      </c>
      <c r="N14" s="38">
        <f t="shared" ca="1" si="8"/>
        <v>807460.15</v>
      </c>
      <c r="O14" s="38">
        <f t="shared" ca="1" si="1"/>
        <v>16.71045366516103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4200000</v>
      </c>
      <c r="M16" s="38">
        <f t="shared" ca="1" si="10"/>
        <v>4200000</v>
      </c>
      <c r="N16" s="38">
        <f t="shared" ca="1" si="10"/>
        <v>4200000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8825065</v>
      </c>
      <c r="M18" s="23">
        <f t="shared" ca="1" si="11"/>
        <v>8003310</v>
      </c>
      <c r="N18" s="23">
        <f t="shared" ca="1" si="11"/>
        <v>7422867.8399999999</v>
      </c>
      <c r="O18" s="22">
        <f t="shared" ref="O18:O20" ca="1" si="12">IF(L18&gt;0,N18*100/L18,0)</f>
        <v>84.111197367951391</v>
      </c>
      <c r="P18" s="22">
        <f t="shared" ref="P18:P26" ca="1" si="13">IF(M18&gt;0,N18*100/M18,0)</f>
        <v>92.747473732743074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8825065</v>
      </c>
      <c r="M20" s="30">
        <f t="shared" ca="1" si="15"/>
        <v>8003310</v>
      </c>
      <c r="N20" s="30">
        <f t="shared" ca="1" si="15"/>
        <v>7422867.8399999999</v>
      </c>
      <c r="O20" s="29">
        <f t="shared" ca="1" si="12"/>
        <v>84.111197367951391</v>
      </c>
      <c r="P20" s="29">
        <f t="shared" ca="1" si="13"/>
        <v>92.747473732743074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4625065</v>
      </c>
      <c r="M22" s="41">
        <f t="shared" ca="1" si="18"/>
        <v>3803310</v>
      </c>
      <c r="N22" s="38">
        <f t="shared" ca="1" si="18"/>
        <v>3222867.84</v>
      </c>
      <c r="O22" s="38">
        <f t="shared" ca="1" si="17"/>
        <v>69.682649649248177</v>
      </c>
      <c r="P22" s="38">
        <f t="shared" ca="1" si="13"/>
        <v>84.738499885625941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2348700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2276365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4200000</v>
      </c>
      <c r="M26" s="49">
        <f t="shared" ca="1" si="22"/>
        <v>4200000</v>
      </c>
      <c r="N26" s="49">
        <f t="shared" ca="1" si="22"/>
        <v>4200000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2555701</v>
      </c>
      <c r="M28" s="23">
        <f t="shared" si="23"/>
        <v>0</v>
      </c>
      <c r="N28" s="23">
        <f t="shared" ca="1" si="23"/>
        <v>807460.15</v>
      </c>
      <c r="O28" s="22">
        <f t="shared" ref="O28:O30" ca="1" si="24">IF(L28&gt;0,N28*100/L28,0)</f>
        <v>31.594468601765229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2555701</v>
      </c>
      <c r="M30" s="30">
        <f t="shared" si="27"/>
        <v>0</v>
      </c>
      <c r="N30" s="30">
        <f t="shared" ca="1" si="27"/>
        <v>807460.15</v>
      </c>
      <c r="O30" s="29">
        <f t="shared" ca="1" si="24"/>
        <v>31.594468601765229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2555701</v>
      </c>
      <c r="M32" s="38">
        <f t="shared" si="30"/>
        <v>0</v>
      </c>
      <c r="N32" s="38">
        <f t="shared" ca="1" si="30"/>
        <v>807460.15</v>
      </c>
      <c r="O32" s="38">
        <f t="shared" ca="1" si="29"/>
        <v>31.594468601765229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2555701</v>
      </c>
      <c r="M34" s="38">
        <f t="shared" si="32"/>
        <v>0</v>
      </c>
      <c r="N34" s="38">
        <f t="shared" ca="1" si="32"/>
        <v>807460.15</v>
      </c>
      <c r="O34" s="38">
        <f t="shared" ca="1" si="29"/>
        <v>31.594468601765229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8825065</v>
      </c>
      <c r="M37" s="54">
        <f t="shared" ca="1" si="33"/>
        <v>8003310</v>
      </c>
      <c r="N37" s="54">
        <f t="shared" ca="1" si="33"/>
        <v>7422867.8399999999</v>
      </c>
      <c r="O37" s="55">
        <f t="shared" ca="1" si="29"/>
        <v>84.111197367951391</v>
      </c>
      <c r="P37" s="55">
        <f t="shared" ca="1" si="25"/>
        <v>92.747473732743074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804100</v>
      </c>
      <c r="M41" s="78">
        <f t="shared" ca="1" si="34"/>
        <v>603100</v>
      </c>
      <c r="N41" s="78">
        <f t="shared" ca="1" si="34"/>
        <v>516367.41</v>
      </c>
      <c r="O41" s="77">
        <f t="shared" ref="O41:O43" ca="1" si="35">IF(L41&gt;0,N41*100/L41,0)</f>
        <v>64.216815072752141</v>
      </c>
      <c r="P41" s="77">
        <f t="shared" ref="P41:P43" ca="1" si="36">IF(M41&gt;0,N41*100/M41,0)</f>
        <v>85.618870834024207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804100</v>
      </c>
      <c r="M43" s="78">
        <f t="shared" ca="1" si="38"/>
        <v>603100</v>
      </c>
      <c r="N43" s="78">
        <f t="shared" ca="1" si="38"/>
        <v>516367.41</v>
      </c>
      <c r="O43" s="77">
        <f t="shared" ca="1" si="35"/>
        <v>64.216815072752141</v>
      </c>
      <c r="P43" s="77">
        <f t="shared" ca="1" si="36"/>
        <v>85.618870834024207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804100</v>
      </c>
      <c r="M45" s="49">
        <f ca="1">IFERROR(__xludf.DUMMYFUNCTION("IMPORTRANGE(""https://docs.google.com/spreadsheets/d/1Yj_ptqi66GCucihVvJfMjLAmec39IyEx_6qawtMGysU/edit?usp=sharing"",""สบก!Q74"")"),603100)</f>
        <v>603100</v>
      </c>
      <c r="N45" s="49">
        <f ca="1">IFERROR(__xludf.DUMMYFUNCTION("IMPORTRANGE(""https://docs.google.com/spreadsheets/d/1Yj_ptqi66GCucihVvJfMjLAmec39IyEx_6qawtMGysU/edit?usp=sharing"",""สบก!R74"")"),516367.41)</f>
        <v>516367.41</v>
      </c>
      <c r="O45" s="38">
        <f ca="1">IF(L45&gt;0,N45*100/L45,0)</f>
        <v>64.216815072752141</v>
      </c>
      <c r="P45" s="38">
        <f ca="1">IF(M45&gt;0,N45*100/M45,0)</f>
        <v>85.618870834024207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IFERROR(__xludf.DUMMYFUNCTION("IMPORTRANGE(""https://docs.google.com/spreadsheets/d/1Yj_ptqi66GCucihVvJfMjLAmec39IyEx_6qawtMGysU/edit?usp=sharing"",""สบก!M74"")"),804100)</f>
        <v>804100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IFERROR(__xludf.DUMMYFUNCTION("IMPORTRANGE(""https://docs.google.com/spreadsheets/d/1Yj_ptqi66GCucihVvJfMjLAmec39IyEx_6qawtMGysU/edit?usp=sharing"",""สบก!O74"")"),0)</f>
        <v>0</v>
      </c>
      <c r="M49" s="49"/>
      <c r="N49" s="49">
        <f ca="1">IFERROR(__xludf.DUMMYFUNCTION("IMPORTRANGE(""https://docs.google.com/spreadsheets/d/1Yj_ptqi66GCucihVvJfMjLAmec39IyEx_6qawtMGysU/edit?usp=sharing"",""สบก!S74"")"),0)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605000</v>
      </c>
      <c r="M53" s="121">
        <f t="shared" ca="1" si="39"/>
        <v>468020</v>
      </c>
      <c r="N53" s="121">
        <f t="shared" ca="1" si="39"/>
        <v>461832</v>
      </c>
      <c r="O53" s="120">
        <f t="shared" ref="O53:O55" ca="1" si="40">IF(L53&gt;0,N53*100/L53,0)</f>
        <v>76.335867768595037</v>
      </c>
      <c r="P53" s="120">
        <f t="shared" ref="P53:P55" ca="1" si="41">IF(M53&gt;0,N53*100/M53,0)</f>
        <v>98.677834280586296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605000</v>
      </c>
      <c r="M55" s="121">
        <f t="shared" ca="1" si="43"/>
        <v>468020</v>
      </c>
      <c r="N55" s="121">
        <f t="shared" ca="1" si="43"/>
        <v>461832</v>
      </c>
      <c r="O55" s="120">
        <f t="shared" ca="1" si="40"/>
        <v>76.335867768595037</v>
      </c>
      <c r="P55" s="120">
        <f t="shared" ca="1" si="41"/>
        <v>98.677834280586296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605000</v>
      </c>
      <c r="M57" s="49">
        <f ca="1">IFERROR(__xludf.DUMMYFUNCTION("IMPORTRANGE(""https://docs.google.com/spreadsheets/d/1Yj_ptqi66GCucihVvJfMjLAmec39IyEx_6qawtMGysU/edit?usp=sharing"",""สบก!Z74"")"),468020)</f>
        <v>468020</v>
      </c>
      <c r="N57" s="49">
        <f ca="1">IFERROR(__xludf.DUMMYFUNCTION("IMPORTRANGE(""https://docs.google.com/spreadsheets/d/1Yj_ptqi66GCucihVvJfMjLAmec39IyEx_6qawtMGysU/edit?usp=sharing"",""สบก!AA74"")"),461832)</f>
        <v>461832</v>
      </c>
      <c r="O57" s="38">
        <f ca="1">IF(L57&gt;0,N57*100/L57,0)</f>
        <v>76.335867768595037</v>
      </c>
      <c r="P57" s="38">
        <f ca="1">IF(M57&gt;0,N57*100/M57,0)</f>
        <v>98.677834280586296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IFERROR(__xludf.DUMMYFUNCTION("IMPORTRANGE(""https://docs.google.com/spreadsheets/d/1Yj_ptqi66GCucihVvJfMjLAmec39IyEx_6qawtMGysU/edit?usp=sharing"",""สบก!V74"")"),605000)</f>
        <v>605000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6017200</v>
      </c>
      <c r="M66" s="152">
        <f t="shared" ca="1" si="45"/>
        <v>5791900</v>
      </c>
      <c r="N66" s="152">
        <f t="shared" ca="1" si="45"/>
        <v>5651967.4299999997</v>
      </c>
      <c r="O66" s="151">
        <f t="shared" ref="O66:O68" ca="1" si="46">IF(L66&gt;0,N66*100/L66,0)</f>
        <v>93.930190620222035</v>
      </c>
      <c r="P66" s="151">
        <f t="shared" ref="P66:P68" ca="1" si="47">IF(M66&gt;0,N66*100/M66,0)</f>
        <v>97.583995407379277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6017200</v>
      </c>
      <c r="M68" s="157">
        <f t="shared" ca="1" si="49"/>
        <v>5791900</v>
      </c>
      <c r="N68" s="157">
        <f t="shared" ca="1" si="49"/>
        <v>5651967.4299999997</v>
      </c>
      <c r="O68" s="156">
        <f t="shared" ca="1" si="46"/>
        <v>93.930190620222035</v>
      </c>
      <c r="P68" s="156">
        <f t="shared" ca="1" si="47"/>
        <v>97.583995407379277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1817200</v>
      </c>
      <c r="M70" s="168">
        <f ca="1">IFERROR(__xludf.DUMMYFUNCTION("IMPORTRANGE(""https://docs.google.com/spreadsheets/d/1Yj_ptqi66GCucihVvJfMjLAmec39IyEx_6qawtMGysU/edit?usp=sharing"",""สบก!AI74"")"),1591900)</f>
        <v>1591900</v>
      </c>
      <c r="N70" s="169">
        <f ca="1">IFERROR(__xludf.DUMMYFUNCTION("IMPORTRANGE(""https://docs.google.com/spreadsheets/d/1Yj_ptqi66GCucihVvJfMjLAmec39IyEx_6qawtMGysU/edit?usp=sharing"",""สบก!AJ74"")"),1451967.43)</f>
        <v>1451967.43</v>
      </c>
      <c r="O70" s="169">
        <f ca="1">IF(L70&gt;0,N70*100/L70,0)</f>
        <v>79.901355381906228</v>
      </c>
      <c r="P70" s="169">
        <f ca="1">IF(M70&gt;0,N70*100/M70,0)</f>
        <v>91.2097135498461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IFERROR(__xludf.DUMMYFUNCTION("IMPORTRANGE(""https://docs.google.com/spreadsheets/d/1Yj_ptqi66GCucihVvJfMjLAmec39IyEx_6qawtMGysU/edit?usp=sharing"",""สบก!AE74"")"),439200)</f>
        <v>439200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IFERROR(__xludf.DUMMYFUNCTION("IMPORTRANGE(""https://docs.google.com/spreadsheets/d/1Yj_ptqi66GCucihVvJfMjLAmec39IyEx_6qawtMGysU/edit?usp=sharing"",""สบก!AF74"")"),1378000)</f>
        <v>1378000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IFERROR(__xludf.DUMMYFUNCTION("IMPORTRANGE(""https://docs.google.com/spreadsheets/d/1Yj_ptqi66GCucihVvJfMjLAmec39IyEx_6qawtMGysU/edit?usp=sharing"",""สบก!AG74"")"),4200000)</f>
        <v>4200000</v>
      </c>
      <c r="M74" s="49">
        <f ca="1">L74</f>
        <v>4200000</v>
      </c>
      <c r="N74" s="49">
        <f ca="1">IFERROR(__xludf.DUMMYFUNCTION("IMPORTRANGE(""https://docs.google.com/spreadsheets/d/1Yj_ptqi66GCucihVvJfMjLAmec39IyEx_6qawtMGysU/edit?usp=sharing"",""สบก!AK74"")"),4200000)</f>
        <v>4200000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IFERROR(__xludf.DUMMYFUNCTION("IMPORTRANGE(""https://docs.google.com/spreadsheets/d/1SX6NBoVAgQJ6U1MVXOaj8PK2l7WJ3RER9xtqwdhxkhw/edit?usp=sharing"",""ลพบุรี!J16"")"),0)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IFERROR(__xludf.DUMMYFUNCTION("IMPORTRANGE(""https://docs.google.com/spreadsheets/d/1SX6NBoVAgQJ6U1MVXOaj8PK2l7WJ3RER9xtqwdhxkhw/edit?usp=sharing"",""ลพบุรี!J17"")"),1)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IFERROR(__xludf.DUMMYFUNCTION("IMPORTRANGE(""https://docs.google.com/spreadsheets/d/1SX6NBoVAgQJ6U1MVXOaj8PK2l7WJ3RER9xtqwdhxkhw/edit?usp=sharing"",""ลพบุรี!J18"")"),1)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IFERROR(__xludf.DUMMYFUNCTION("IMPORTRANGE(""https://docs.google.com/spreadsheets/d/1SX6NBoVAgQJ6U1MVXOaj8PK2l7WJ3RER9xtqwdhxkhw/edit?usp=sharing"",""ลพบุรี!J19"")"),1)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IFERROR(__xludf.DUMMYFUNCTION("IMPORTRANGE(""https://docs.google.com/spreadsheets/d/1SX6NBoVAgQJ6U1MVXOaj8PK2l7WJ3RER9xtqwdhxkhw/edit?usp=sharing"",""ลพบุรี!I20"")"),2)</f>
        <v>2</v>
      </c>
      <c r="J80" s="201">
        <f ca="1">IFERROR(__xludf.DUMMYFUNCTION("IMPORTRANGE(""https://docs.google.com/spreadsheets/d/1SX6NBoVAgQJ6U1MVXOaj8PK2l7WJ3RER9xtqwdhxkhw/edit?usp=sharing"",""ลพบุรี!J20"")"),2)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IFERROR(__xludf.DUMMYFUNCTION("IMPORTRANGE(""https://docs.google.com/spreadsheets/d/1SX6NBoVAgQJ6U1MVXOaj8PK2l7WJ3RER9xtqwdhxkhw/edit?usp=sharing"",""ลพบุรี!I21"")"),180)</f>
        <v>180</v>
      </c>
      <c r="J81" s="201">
        <f ca="1">IFERROR(__xludf.DUMMYFUNCTION("IMPORTRANGE(""https://docs.google.com/spreadsheets/d/1SX6NBoVAgQJ6U1MVXOaj8PK2l7WJ3RER9xtqwdhxkhw/edit?usp=sharing"",""ลพบุรี!J21"")"),180)</f>
        <v>180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IFERROR(__xludf.DUMMYFUNCTION("IMPORTRANGE(""https://docs.google.com/spreadsheets/d/1SX6NBoVAgQJ6U1MVXOaj8PK2l7WJ3RER9xtqwdhxkhw/edit?usp=sharing"",""ลพบุรี!I22"")"),1)</f>
        <v>1</v>
      </c>
      <c r="J82" s="204">
        <f ca="1">IFERROR(__xludf.DUMMYFUNCTION("IMPORTRANGE(""https://docs.google.com/spreadsheets/d/1SX6NBoVAgQJ6U1MVXOaj8PK2l7WJ3RER9xtqwdhxkhw/edit?usp=sharing"",""ลพบุรี!J22"")"),1)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IFERROR(__xludf.DUMMYFUNCTION("IMPORTRANGE(""https://docs.google.com/spreadsheets/d/1SX6NBoVAgQJ6U1MVXOaj8PK2l7WJ3RER9xtqwdhxkhw/edit?usp=sharing"",""ลพบุรี!I23"")"),80)</f>
        <v>80</v>
      </c>
      <c r="J83" s="204">
        <f ca="1">IFERROR(__xludf.DUMMYFUNCTION("IMPORTRANGE(""https://docs.google.com/spreadsheets/d/1SX6NBoVAgQJ6U1MVXOaj8PK2l7WJ3RER9xtqwdhxkhw/edit?usp=sharing"",""ลพบุรี!J23"")"),80)</f>
        <v>80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IFERROR(__xludf.DUMMYFUNCTION("IMPORTRANGE(""https://docs.google.com/spreadsheets/d/1SX6NBoVAgQJ6U1MVXOaj8PK2l7WJ3RER9xtqwdhxkhw/edit?usp=sharing"",""ลพบุรี!I24"")"),1)</f>
        <v>1</v>
      </c>
      <c r="J84" s="189">
        <f ca="1">IFERROR(__xludf.DUMMYFUNCTION("IMPORTRANGE(""https://docs.google.com/spreadsheets/d/1SX6NBoVAgQJ6U1MVXOaj8PK2l7WJ3RER9xtqwdhxkhw/edit?usp=sharing"",""ลพบุรี!J24"")"),1)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IFERROR(__xludf.DUMMYFUNCTION("IMPORTRANGE(""https://docs.google.com/spreadsheets/d/1SX6NBoVAgQJ6U1MVXOaj8PK2l7WJ3RER9xtqwdhxkhw/edit?usp=sharing"",""ลพบุรี!I25"")"),100)</f>
        <v>100</v>
      </c>
      <c r="J85" s="189">
        <f ca="1">IFERROR(__xludf.DUMMYFUNCTION("IMPORTRANGE(""https://docs.google.com/spreadsheets/d/1SX6NBoVAgQJ6U1MVXOaj8PK2l7WJ3RER9xtqwdhxkhw/edit?usp=sharing"",""ลพบุรี!J25"")"),100)</f>
        <v>100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IFERROR(__xludf.DUMMYFUNCTION("IMPORTRANGE(""https://docs.google.com/spreadsheets/d/1SX6NBoVAgQJ6U1MVXOaj8PK2l7WJ3RER9xtqwdhxkhw/edit?usp=sharing"",""ลพบุรี!I26"")"),0)</f>
        <v>0</v>
      </c>
      <c r="J86" s="204">
        <f ca="1">IFERROR(__xludf.DUMMYFUNCTION("IMPORTRANGE(""https://docs.google.com/spreadsheets/d/1SX6NBoVAgQJ6U1MVXOaj8PK2l7WJ3RER9xtqwdhxkhw/edit?usp=sharing"",""ลพบุรี!J26"")"),0)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IFERROR(__xludf.DUMMYFUNCTION("IMPORTRANGE(""https://docs.google.com/spreadsheets/d/1SX6NBoVAgQJ6U1MVXOaj8PK2l7WJ3RER9xtqwdhxkhw/edit?usp=sharing"",""ลพบุรี!I27"")"),0)</f>
        <v>0</v>
      </c>
      <c r="J87" s="204">
        <f ca="1">IFERROR(__xludf.DUMMYFUNCTION("IMPORTRANGE(""https://docs.google.com/spreadsheets/d/1SX6NBoVAgQJ6U1MVXOaj8PK2l7WJ3RER9xtqwdhxkhw/edit?usp=sharing"",""ลพบุรี!J27"")"),0)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IFERROR(__xludf.DUMMYFUNCTION("IMPORTRANGE(""https://docs.google.com/spreadsheets/d/1SX6NBoVAgQJ6U1MVXOaj8PK2l7WJ3RER9xtqwdhxkhw/edit?usp=sharing"",""ลพบุรี!I28"")"),2)</f>
        <v>2</v>
      </c>
      <c r="J88" s="204">
        <f ca="1">IFERROR(__xludf.DUMMYFUNCTION("IMPORTRANGE(""https://docs.google.com/spreadsheets/d/1SX6NBoVAgQJ6U1MVXOaj8PK2l7WJ3RER9xtqwdhxkhw/edit?usp=sharing"",""ลพบุรี!J28"")"),2)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IFERROR(__xludf.DUMMYFUNCTION("IMPORTRANGE(""https://docs.google.com/spreadsheets/d/1SX6NBoVAgQJ6U1MVXOaj8PK2l7WJ3RER9xtqwdhxkhw/edit?usp=sharing"",""ลพบุรี!J29"")"),1)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IFERROR(__xludf.DUMMYFUNCTION("IMPORTRANGE(""https://docs.google.com/spreadsheets/d/1SX6NBoVAgQJ6U1MVXOaj8PK2l7WJ3RER9xtqwdhxkhw/edit?usp=sharing"",""ลพบุรี!J30"")"),0)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IFERROR(__xludf.DUMMYFUNCTION("IMPORTRANGE(""https://docs.google.com/spreadsheets/d/1Yj_ptqi66GCucihVvJfMjLAmec39IyEx_6qawtMGysU/edit?usp=sharing"",""สบก!AR74"")"),0)</f>
        <v>0</v>
      </c>
      <c r="N98" s="169">
        <f ca="1">IFERROR(__xludf.DUMMYFUNCTION("IMPORTRANGE(""https://docs.google.com/spreadsheets/d/1Yj_ptqi66GCucihVvJfMjLAmec39IyEx_6qawtMGysU/edit?usp=sharing"",""สบก!AS74"")"),0)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IFERROR(__xludf.DUMMYFUNCTION("IMPORTRANGE(""https://docs.google.com/spreadsheets/d/1SX6NBoVAgQJ6U1MVXOaj8PK2l7WJ3RER9xtqwdhxkhw/edit?usp=sharing"",""ลพบุรี!J39"")"),0)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IFERROR(__xludf.DUMMYFUNCTION("IMPORTRANGE(""https://docs.google.com/spreadsheets/d/1SX6NBoVAgQJ6U1MVXOaj8PK2l7WJ3RER9xtqwdhxkhw/edit?usp=sharing"",""ลพบุรี!J40"")"),0)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IFERROR(__xludf.DUMMYFUNCTION("IMPORTRANGE(""https://docs.google.com/spreadsheets/d/1SX6NBoVAgQJ6U1MVXOaj8PK2l7WJ3RER9xtqwdhxkhw/edit?usp=sharing"",""ลพบุรี!J41"")"),0)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IFERROR(__xludf.DUMMYFUNCTION("IMPORTRANGE(""https://docs.google.com/spreadsheets/d/1SX6NBoVAgQJ6U1MVXOaj8PK2l7WJ3RER9xtqwdhxkhw/edit?usp=sharing"",""ลพบุรี!J42"")"),0)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IFERROR(__xludf.DUMMYFUNCTION("IMPORTRANGE(""https://docs.google.com/spreadsheets/d/1SX6NBoVAgQJ6U1MVXOaj8PK2l7WJ3RER9xtqwdhxkhw/edit?usp=sharing"",""ลพบุรี!I43"")"),0)</f>
        <v>0</v>
      </c>
      <c r="J108" s="204">
        <f ca="1">IFERROR(__xludf.DUMMYFUNCTION("IMPORTRANGE(""https://docs.google.com/spreadsheets/d/1SX6NBoVAgQJ6U1MVXOaj8PK2l7WJ3RER9xtqwdhxkhw/edit?usp=sharing"",""ลพบุรี!J43"")"),0)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IFERROR(__xludf.DUMMYFUNCTION("IMPORTRANGE(""https://docs.google.com/spreadsheets/d/1SX6NBoVAgQJ6U1MVXOaj8PK2l7WJ3RER9xtqwdhxkhw/edit?usp=sharing"",""ลพบุรี!I44"")"),0)</f>
        <v>0</v>
      </c>
      <c r="J109" s="204">
        <f ca="1">IFERROR(__xludf.DUMMYFUNCTION("IMPORTRANGE(""https://docs.google.com/spreadsheets/d/1SX6NBoVAgQJ6U1MVXOaj8PK2l7WJ3RER9xtqwdhxkhw/edit?usp=sharing"",""ลพบุรี!J44"")"),0)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IFERROR(__xludf.DUMMYFUNCTION("IMPORTRANGE(""https://docs.google.com/spreadsheets/d/1SX6NBoVAgQJ6U1MVXOaj8PK2l7WJ3RER9xtqwdhxkhw/edit?usp=sharing"",""ลพบุรี!I45"")"),0)</f>
        <v>0</v>
      </c>
      <c r="J110" s="204">
        <f ca="1">IFERROR(__xludf.DUMMYFUNCTION("IMPORTRANGE(""https://docs.google.com/spreadsheets/d/1SX6NBoVAgQJ6U1MVXOaj8PK2l7WJ3RER9xtqwdhxkhw/edit?usp=sharing"",""ลพบุรี!J45"")"),0)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IFERROR(__xludf.DUMMYFUNCTION("IMPORTRANGE(""https://docs.google.com/spreadsheets/d/1SX6NBoVAgQJ6U1MVXOaj8PK2l7WJ3RER9xtqwdhxkhw/edit?usp=sharing"",""ลพบุรี!I46"")"),0)</f>
        <v>0</v>
      </c>
      <c r="J111" s="204">
        <f ca="1">IFERROR(__xludf.DUMMYFUNCTION("IMPORTRANGE(""https://docs.google.com/spreadsheets/d/1SX6NBoVAgQJ6U1MVXOaj8PK2l7WJ3RER9xtqwdhxkhw/edit?usp=sharing"",""ลพบุรี!J46"")"),0)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IFERROR(__xludf.DUMMYFUNCTION("IMPORTRANGE(""https://docs.google.com/spreadsheets/d/1SX6NBoVAgQJ6U1MVXOaj8PK2l7WJ3RER9xtqwdhxkhw/edit?usp=sharing"",""ลพบุรี!I47"")"),0)</f>
        <v>0</v>
      </c>
      <c r="J112" s="204">
        <f ca="1">IFERROR(__xludf.DUMMYFUNCTION("IMPORTRANGE(""https://docs.google.com/spreadsheets/d/1SX6NBoVAgQJ6U1MVXOaj8PK2l7WJ3RER9xtqwdhxkhw/edit?usp=sharing"",""ลพบุรี!J47"")"),0)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IFERROR(__xludf.DUMMYFUNCTION("IMPORTRANGE(""https://docs.google.com/spreadsheets/d/1SX6NBoVAgQJ6U1MVXOaj8PK2l7WJ3RER9xtqwdhxkhw/edit?usp=sharing"",""ลพบุรี!I48"")"),0)</f>
        <v>0</v>
      </c>
      <c r="J113" s="204">
        <f ca="1">IFERROR(__xludf.DUMMYFUNCTION("IMPORTRANGE(""https://docs.google.com/spreadsheets/d/1SX6NBoVAgQJ6U1MVXOaj8PK2l7WJ3RER9xtqwdhxkhw/edit?usp=sharing"",""ลพบุรี!J48"")"),0)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IFERROR(__xludf.DUMMYFUNCTION("IMPORTRANGE(""https://docs.google.com/spreadsheets/d/1SX6NBoVAgQJ6U1MVXOaj8PK2l7WJ3RER9xtqwdhxkhw/edit?usp=sharing"",""ลพบุรี!J49"")"),0)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IFERROR(__xludf.DUMMYFUNCTION("IMPORTRANGE(""https://docs.google.com/spreadsheets/d/1SX6NBoVAgQJ6U1MVXOaj8PK2l7WJ3RER9xtqwdhxkhw/edit?usp=sharing"",""ลพบุรี!J50"")"),0)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21304</v>
      </c>
      <c r="O118" s="151">
        <f t="shared" ref="O118:O120" ca="1" si="59">IF(L118&gt;0,N118*100/L118,0)</f>
        <v>32.830944675604869</v>
      </c>
      <c r="P118" s="151">
        <f t="shared" ref="P118:P120" ca="1" si="60">IF(M118&gt;0,N118*100/M118,0)</f>
        <v>32.830944675604869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21304</v>
      </c>
      <c r="O120" s="156">
        <f t="shared" ca="1" si="59"/>
        <v>32.830944675604869</v>
      </c>
      <c r="P120" s="156">
        <f t="shared" ca="1" si="60"/>
        <v>32.830944675604869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IFERROR(__xludf.DUMMYFUNCTION("IMPORTRANGE(""https://docs.google.com/spreadsheets/d/1Yj_ptqi66GCucihVvJfMjLAmec39IyEx_6qawtMGysU/edit?usp=sharing"",""สบก!BA74"")"),64890)</f>
        <v>64890</v>
      </c>
      <c r="N122" s="169">
        <f ca="1">IFERROR(__xludf.DUMMYFUNCTION("IMPORTRANGE(""https://docs.google.com/spreadsheets/d/1Yj_ptqi66GCucihVvJfMjLAmec39IyEx_6qawtMGysU/edit?usp=sharing"",""สบก!BB74"")"),21304)</f>
        <v>21304</v>
      </c>
      <c r="O122" s="169">
        <f ca="1">IF(L122&gt;0,N122*100/L122,0)</f>
        <v>32.830944675604869</v>
      </c>
      <c r="P122" s="169">
        <f ca="1">IF(M122&gt;0,N122*100/M122,0)</f>
        <v>32.830944675604869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IFERROR(__xludf.DUMMYFUNCTION("IMPORTRANGE(""https://docs.google.com/spreadsheets/d/1Yj_ptqi66GCucihVvJfMjLAmec39IyEx_6qawtMGysU/edit?usp=sharing"",""สบก!AX74"")"),64890)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IFERROR(__xludf.DUMMYFUNCTION("IMPORTRANGE(""https://docs.google.com/spreadsheets/d/1SX6NBoVAgQJ6U1MVXOaj8PK2l7WJ3RER9xtqwdhxkhw/edit?usp=sharing"",""ลพบุรี!J58"")"),0)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IFERROR(__xludf.DUMMYFUNCTION("IMPORTRANGE(""https://docs.google.com/spreadsheets/d/1SX6NBoVAgQJ6U1MVXOaj8PK2l7WJ3RER9xtqwdhxkhw/edit?usp=sharing"",""ลพบุรี!J59"")"),1)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IFERROR(__xludf.DUMMYFUNCTION("IMPORTRANGE(""https://docs.google.com/spreadsheets/d/1SX6NBoVAgQJ6U1MVXOaj8PK2l7WJ3RER9xtqwdhxkhw/edit?usp=sharing"",""ลพบุรี!J60"")"),1)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IFERROR(__xludf.DUMMYFUNCTION("IMPORTRANGE(""https://docs.google.com/spreadsheets/d/1SX6NBoVAgQJ6U1MVXOaj8PK2l7WJ3RER9xtqwdhxkhw/edit?usp=sharing"",""ลพบุรี!J61"")"),1)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IFERROR(__xludf.DUMMYFUNCTION("IMPORTRANGE(""https://docs.google.com/spreadsheets/d/1SX6NBoVAgQJ6U1MVXOaj8PK2l7WJ3RER9xtqwdhxkhw/edit?usp=sharing"",""ลพบุรี!I62"")"),15)</f>
        <v>15</v>
      </c>
      <c r="J132" s="204">
        <f ca="1">IFERROR(__xludf.DUMMYFUNCTION("IMPORTRANGE(""https://docs.google.com/spreadsheets/d/1SX6NBoVAgQJ6U1MVXOaj8PK2l7WJ3RER9xtqwdhxkhw/edit?usp=sharing"",""ลพบุรี!J62"")"),15)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IFERROR(__xludf.DUMMYFUNCTION("IMPORTRANGE(""https://docs.google.com/spreadsheets/d/1SX6NBoVAgQJ6U1MVXOaj8PK2l7WJ3RER9xtqwdhxkhw/edit?usp=sharing"",""ลพบุรี!I63"")"),15)</f>
        <v>15</v>
      </c>
      <c r="J133" s="204">
        <f ca="1">IFERROR(__xludf.DUMMYFUNCTION("IMPORTRANGE(""https://docs.google.com/spreadsheets/d/1SX6NBoVAgQJ6U1MVXOaj8PK2l7WJ3RER9xtqwdhxkhw/edit?usp=sharing"",""ลพบุรี!J63"")"),15)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IFERROR(__xludf.DUMMYFUNCTION("IMPORTRANGE(""https://docs.google.com/spreadsheets/d/1SX6NBoVAgQJ6U1MVXOaj8PK2l7WJ3RER9xtqwdhxkhw/edit?usp=sharing"",""ลพบุรี!J64"")"),1)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IFERROR(__xludf.DUMMYFUNCTION("IMPORTRANGE(""https://docs.google.com/spreadsheets/d/1SX6NBoVAgQJ6U1MVXOaj8PK2l7WJ3RER9xtqwdhxkhw/edit?usp=sharing"",""ลพบุรี!J65"")"),0)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IFERROR(__xludf.DUMMYFUNCTION("IMPORTRANGE(""https://docs.google.com/spreadsheets/d/1SX6NBoVAgQJ6U1MVXOaj8PK2l7WJ3RER9xtqwdhxkhw/edit?usp=sharing"",""ลพบุรี!I68"")"),0)</f>
        <v>0</v>
      </c>
      <c r="J138" s="268">
        <f ca="1">IFERROR(__xludf.DUMMYFUNCTION("IMPORTRANGE(""https://docs.google.com/spreadsheets/d/1SX6NBoVAgQJ6U1MVXOaj8PK2l7WJ3RER9xtqwdhxkhw/edit?usp=sharing"",""ลพบุรี!J68"")"),0)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69625</v>
      </c>
      <c r="N140" s="152">
        <f t="shared" ca="1" si="64"/>
        <v>64404</v>
      </c>
      <c r="O140" s="151">
        <f t="shared" ref="O140:O142" ca="1" si="65">IF(L140&gt;0,N140*100/L140,0)</f>
        <v>66.055384615384611</v>
      </c>
      <c r="P140" s="151">
        <f t="shared" ref="P140:P142" ca="1" si="66">IF(M140&gt;0,N140*100/M140,0)</f>
        <v>92.501256732495506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69625</v>
      </c>
      <c r="N142" s="157">
        <f t="shared" ca="1" si="68"/>
        <v>64404</v>
      </c>
      <c r="O142" s="156">
        <f t="shared" ca="1" si="65"/>
        <v>66.055384615384611</v>
      </c>
      <c r="P142" s="156">
        <f t="shared" ca="1" si="66"/>
        <v>92.501256732495506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168">
        <f ca="1">IFERROR(__xludf.DUMMYFUNCTION("IMPORTRANGE(""https://docs.google.com/spreadsheets/d/1Yj_ptqi66GCucihVvJfMjLAmec39IyEx_6qawtMGysU/edit?usp=sharing"",""สบก!BJ74"")"),69625)</f>
        <v>69625</v>
      </c>
      <c r="N144" s="169">
        <f ca="1">IFERROR(__xludf.DUMMYFUNCTION("IMPORTRANGE(""https://docs.google.com/spreadsheets/d/1Yj_ptqi66GCucihVvJfMjLAmec39IyEx_6qawtMGysU/edit?usp=sharing"",""สบก!BK74"")"),64404)</f>
        <v>64404</v>
      </c>
      <c r="O144" s="169">
        <f ca="1">IF(L144&gt;0,N144*100/L144,0)</f>
        <v>66.055384615384611</v>
      </c>
      <c r="P144" s="169">
        <f ca="1">IF(M144&gt;0,N144*100/M144,0)</f>
        <v>92.501256732495506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IFERROR(__xludf.DUMMYFUNCTION("IMPORTRANGE(""https://docs.google.com/spreadsheets/d/1Yj_ptqi66GCucihVvJfMjLAmec39IyEx_6qawtMGysU/edit?usp=sharing"",""สบก!BF74"")"),0)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IFERROR(__xludf.DUMMYFUNCTION("IMPORTRANGE(""https://docs.google.com/spreadsheets/d/1Yj_ptqi66GCucihVvJfMjLAmec39IyEx_6qawtMGysU/edit?usp=sharing"",""สบก!BG74"")"),97500)</f>
        <v>97500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IFERROR(__xludf.DUMMYFUNCTION("IMPORTRANGE(""https://docs.google.com/spreadsheets/d/1SX6NBoVAgQJ6U1MVXOaj8PK2l7WJ3RER9xtqwdhxkhw/edit?usp=sharing"",""ลพบุรี!I74"")"),4)</f>
        <v>4</v>
      </c>
      <c r="J149" s="276">
        <f ca="1">IFERROR(__xludf.DUMMYFUNCTION("IMPORTRANGE(""https://docs.google.com/spreadsheets/d/1SX6NBoVAgQJ6U1MVXOaj8PK2l7WJ3RER9xtqwdhxkhw/edit?usp=sharing"",""ลพบุรี!J74"")"),2)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IFERROR(__xludf.DUMMYFUNCTION("IMPORTRANGE(""https://docs.google.com/spreadsheets/d/1SX6NBoVAgQJ6U1MVXOaj8PK2l7WJ3RER9xtqwdhxkhw/edit?usp=sharing"",""ลพบุรี!J79"")"),0)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IFERROR(__xludf.DUMMYFUNCTION("IMPORTRANGE(""https://docs.google.com/spreadsheets/d/1SX6NBoVAgQJ6U1MVXOaj8PK2l7WJ3RER9xtqwdhxkhw/edit?usp=sharing"",""ลพบุรี!J80"")"),1)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IFERROR(__xludf.DUMMYFUNCTION("IMPORTRANGE(""https://docs.google.com/spreadsheets/d/1SX6NBoVAgQJ6U1MVXOaj8PK2l7WJ3RER9xtqwdhxkhw/edit?usp=sharing"",""ลพบุรี!J81"")"),1)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IFERROR(__xludf.DUMMYFUNCTION("IMPORTRANGE(""https://docs.google.com/spreadsheets/d/1SX6NBoVAgQJ6U1MVXOaj8PK2l7WJ3RER9xtqwdhxkhw/edit?usp=sharing"",""ลพบุรี!J82"")"),1)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IFERROR(__xludf.DUMMYFUNCTION("IMPORTRANGE(""https://docs.google.com/spreadsheets/d/1SX6NBoVAgQJ6U1MVXOaj8PK2l7WJ3RER9xtqwdhxkhw/edit?usp=sharing"",""ลพบุรี!I83"")"),4)</f>
        <v>4</v>
      </c>
      <c r="J158" s="189">
        <f ca="1">IFERROR(__xludf.DUMMYFUNCTION("IMPORTRANGE(""https://docs.google.com/spreadsheets/d/1SX6NBoVAgQJ6U1MVXOaj8PK2l7WJ3RER9xtqwdhxkhw/edit?usp=sharing"",""ลพบุรี!J83"")"),2)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IFERROR(__xludf.DUMMYFUNCTION("IMPORTRANGE(""https://docs.google.com/spreadsheets/d/1SX6NBoVAgQJ6U1MVXOaj8PK2l7WJ3RER9xtqwdhxkhw/edit?usp=sharing"",""ลพบุรี!J84"")"),32)</f>
        <v>32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IFERROR(__xludf.DUMMYFUNCTION("IMPORTRANGE(""https://docs.google.com/spreadsheets/d/1SX6NBoVAgQJ6U1MVXOaj8PK2l7WJ3RER9xtqwdhxkhw/edit?usp=sharing"",""ลพบุรี!J85"")"),32)</f>
        <v>32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IFERROR(__xludf.DUMMYFUNCTION("IMPORTRANGE(""https://docs.google.com/spreadsheets/d/1SX6NBoVAgQJ6U1MVXOaj8PK2l7WJ3RER9xtqwdhxkhw/edit?usp=sharing"",""ลพบุรี!J86"")"),0)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IFERROR(__xludf.DUMMYFUNCTION("IMPORTRANGE(""https://docs.google.com/spreadsheets/d/1SX6NBoVAgQJ6U1MVXOaj8PK2l7WJ3RER9xtqwdhxkhw/edit?usp=sharing"",""ลพบุรี!J87"")"),0)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IFERROR(__xludf.DUMMYFUNCTION("IMPORTRANGE(""https://docs.google.com/spreadsheets/d/1SX6NBoVAgQJ6U1MVXOaj8PK2l7WJ3RER9xtqwdhxkhw/edit?usp=sharing"",""ลพบุรี!J88"")"),0)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IFERROR(__xludf.DUMMYFUNCTION("IMPORTRANGE(""https://docs.google.com/spreadsheets/d/1SX6NBoVAgQJ6U1MVXOaj8PK2l7WJ3RER9xtqwdhxkhw/edit?usp=sharing"",""ลพบุรี!I89"")"),4)</f>
        <v>4</v>
      </c>
      <c r="J164" s="285">
        <f ca="1">IFERROR(__xludf.DUMMYFUNCTION("IMPORTRANGE(""https://docs.google.com/spreadsheets/d/1SX6NBoVAgQJ6U1MVXOaj8PK2l7WJ3RER9xtqwdhxkhw/edit?usp=sharing"",""ลพบุรี!J89"")"),4)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IFERROR(__xludf.DUMMYFUNCTION("IMPORTRANGE(""https://docs.google.com/spreadsheets/d/1SX6NBoVAgQJ6U1MVXOaj8PK2l7WJ3RER9xtqwdhxkhw/edit?usp=sharing"",""ลพบุรี!J94"")"),0)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IFERROR(__xludf.DUMMYFUNCTION("IMPORTRANGE(""https://docs.google.com/spreadsheets/d/1SX6NBoVAgQJ6U1MVXOaj8PK2l7WJ3RER9xtqwdhxkhw/edit?usp=sharing"",""ลพบุรี!J95"")"),0)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IFERROR(__xludf.DUMMYFUNCTION("IMPORTRANGE(""https://docs.google.com/spreadsheets/d/1SX6NBoVAgQJ6U1MVXOaj8PK2l7WJ3RER9xtqwdhxkhw/edit?usp=sharing"",""ลพบุรี!J96"")"),0)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IFERROR(__xludf.DUMMYFUNCTION("IMPORTRANGE(""https://docs.google.com/spreadsheets/d/1SX6NBoVAgQJ6U1MVXOaj8PK2l7WJ3RER9xtqwdhxkhw/edit?usp=sharing"",""ลพบุรี!J97"")"),0)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IFERROR(__xludf.DUMMYFUNCTION("IMPORTRANGE(""https://docs.google.com/spreadsheets/d/1SX6NBoVAgQJ6U1MVXOaj8PK2l7WJ3RER9xtqwdhxkhw/edit?usp=sharing"",""ลพบุรี!I98"")"),4)</f>
        <v>4</v>
      </c>
      <c r="J173" s="189">
        <f ca="1">IFERROR(__xludf.DUMMYFUNCTION("IMPORTRANGE(""https://docs.google.com/spreadsheets/d/1SX6NBoVAgQJ6U1MVXOaj8PK2l7WJ3RER9xtqwdhxkhw/edit?usp=sharing"",""ลพบุรี!J98"")"),4)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IFERROR(__xludf.DUMMYFUNCTION("IMPORTRANGE(""https://docs.google.com/spreadsheets/d/1SX6NBoVAgQJ6U1MVXOaj8PK2l7WJ3RER9xtqwdhxkhw/edit?usp=sharing"",""ลพบุรี!J99"")"),0)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IFERROR(__xludf.DUMMYFUNCTION("IMPORTRANGE(""https://docs.google.com/spreadsheets/d/1SX6NBoVAgQJ6U1MVXOaj8PK2l7WJ3RER9xtqwdhxkhw/edit?usp=sharing"",""ลพบุรี!J100"")"),1)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IFERROR(__xludf.DUMMYFUNCTION("IMPORTRANGE(""https://docs.google.com/spreadsheets/d/1SX6NBoVAgQJ6U1MVXOaj8PK2l7WJ3RER9xtqwdhxkhw/edit?usp=sharing"",""ลพบุรี!I101"")"),0)</f>
        <v>0</v>
      </c>
      <c r="J176" s="285">
        <f ca="1">IFERROR(__xludf.DUMMYFUNCTION("IMPORTRANGE(""https://docs.google.com/spreadsheets/d/1SX6NBoVAgQJ6U1MVXOaj8PK2l7WJ3RER9xtqwdhxkhw/edit?usp=sharing"",""ลพบุรี!J101"")"),0)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IFERROR(__xludf.DUMMYFUNCTION("IMPORTRANGE(""https://docs.google.com/spreadsheets/d/1SX6NBoVAgQJ6U1MVXOaj8PK2l7WJ3RER9xtqwdhxkhw/edit?usp=sharing"",""ลพบุรี!J106"")"),0)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IFERROR(__xludf.DUMMYFUNCTION("IMPORTRANGE(""https://docs.google.com/spreadsheets/d/1SX6NBoVAgQJ6U1MVXOaj8PK2l7WJ3RER9xtqwdhxkhw/edit?usp=sharing"",""ลพบุรี!J107"")"),0)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IFERROR(__xludf.DUMMYFUNCTION("IMPORTRANGE(""https://docs.google.com/spreadsheets/d/1SX6NBoVAgQJ6U1MVXOaj8PK2l7WJ3RER9xtqwdhxkhw/edit?usp=sharing"",""ลพบุรี!J108"")"),0)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IFERROR(__xludf.DUMMYFUNCTION("IMPORTRANGE(""https://docs.google.com/spreadsheets/d/1SX6NBoVAgQJ6U1MVXOaj8PK2l7WJ3RER9xtqwdhxkhw/edit?usp=sharing"",""ลพบุรี!J109"")"),0)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IFERROR(__xludf.DUMMYFUNCTION("IMPORTRANGE(""https://docs.google.com/spreadsheets/d/1SX6NBoVAgQJ6U1MVXOaj8PK2l7WJ3RER9xtqwdhxkhw/edit?usp=sharing"",""ลพบุรี!I110"")"),0)</f>
        <v>0</v>
      </c>
      <c r="J185" s="204">
        <f ca="1">IFERROR(__xludf.DUMMYFUNCTION("IMPORTRANGE(""https://docs.google.com/spreadsheets/d/1SX6NBoVAgQJ6U1MVXOaj8PK2l7WJ3RER9xtqwdhxkhw/edit?usp=sharing"",""ลพบุรี!J110"")"),0)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IFERROR(__xludf.DUMMYFUNCTION("IMPORTRANGE(""https://docs.google.com/spreadsheets/d/1SX6NBoVAgQJ6U1MVXOaj8PK2l7WJ3RER9xtqwdhxkhw/edit?usp=sharing"",""ลพบุรี!I111"")"),0)</f>
        <v>0</v>
      </c>
      <c r="J186" s="204">
        <f ca="1">IFERROR(__xludf.DUMMYFUNCTION("IMPORTRANGE(""https://docs.google.com/spreadsheets/d/1SX6NBoVAgQJ6U1MVXOaj8PK2l7WJ3RER9xtqwdhxkhw/edit?usp=sharing"",""ลพบุรี!J111"")"),0)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IFERROR(__xludf.DUMMYFUNCTION("IMPORTRANGE(""https://docs.google.com/spreadsheets/d/1SX6NBoVAgQJ6U1MVXOaj8PK2l7WJ3RER9xtqwdhxkhw/edit?usp=sharing"",""ลพบุรี!J112"")"),0)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IFERROR(__xludf.DUMMYFUNCTION("IMPORTRANGE(""https://docs.google.com/spreadsheets/d/1SX6NBoVAgQJ6U1MVXOaj8PK2l7WJ3RER9xtqwdhxkhw/edit?usp=sharing"",""ลพบุรี!J113"")"),0)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IFERROR(__xludf.DUMMYFUNCTION("IMPORTRANGE(""https://docs.google.com/spreadsheets/d/1SX6NBoVAgQJ6U1MVXOaj8PK2l7WJ3RER9xtqwdhxkhw/edit?usp=sharing"",""ลพบุรี!I114"")"),100000)</f>
        <v>100000</v>
      </c>
      <c r="J189" s="285">
        <f ca="1">IFERROR(__xludf.DUMMYFUNCTION("IMPORTRANGE(""https://docs.google.com/spreadsheets/d/1SX6NBoVAgQJ6U1MVXOaj8PK2l7WJ3RER9xtqwdhxkhw/edit?usp=sharing"",""ลพบุรี!J114"")"),0)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IFERROR(__xludf.DUMMYFUNCTION("IMPORTRANGE(""https://docs.google.com/spreadsheets/d/1SX6NBoVAgQJ6U1MVXOaj8PK2l7WJ3RER9xtqwdhxkhw/edit?usp=sharing"",""ลพบุรี!J119"")"),1)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IFERROR(__xludf.DUMMYFUNCTION("IMPORTRANGE(""https://docs.google.com/spreadsheets/d/1SX6NBoVAgQJ6U1MVXOaj8PK2l7WJ3RER9xtqwdhxkhw/edit?usp=sharing"",""ลพบุรี!J120"")"),0)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IFERROR(__xludf.DUMMYFUNCTION("IMPORTRANGE(""https://docs.google.com/spreadsheets/d/1SX6NBoVAgQJ6U1MVXOaj8PK2l7WJ3RER9xtqwdhxkhw/edit?usp=sharing"",""ลพบุรี!J121"")"),0)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IFERROR(__xludf.DUMMYFUNCTION("IMPORTRANGE(""https://docs.google.com/spreadsheets/d/1SX6NBoVAgQJ6U1MVXOaj8PK2l7WJ3RER9xtqwdhxkhw/edit?usp=sharing"",""ลพบุรี!J122"")"),0)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IFERROR(__xludf.DUMMYFUNCTION("IMPORTRANGE(""https://docs.google.com/spreadsheets/d/1SX6NBoVAgQJ6U1MVXOaj8PK2l7WJ3RER9xtqwdhxkhw/edit?usp=sharing"",""ลพบุรี!I124"")"),100000)</f>
        <v>100000</v>
      </c>
      <c r="J199" s="189">
        <f ca="1">IFERROR(__xludf.DUMMYFUNCTION("IMPORTRANGE(""https://docs.google.com/spreadsheets/d/1SX6NBoVAgQJ6U1MVXOaj8PK2l7WJ3RER9xtqwdhxkhw/edit?usp=sharing"",""ลพบุรี!J124"")"),0)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IFERROR(__xludf.DUMMYFUNCTION("IMPORTRANGE(""https://docs.google.com/spreadsheets/d/1SX6NBoVAgQJ6U1MVXOaj8PK2l7WJ3RER9xtqwdhxkhw/edit?usp=sharing"",""ลพบุรี!I125"")"),100000)</f>
        <v>100000</v>
      </c>
      <c r="J200" s="189">
        <f ca="1">IFERROR(__xludf.DUMMYFUNCTION("IMPORTRANGE(""https://docs.google.com/spreadsheets/d/1SX6NBoVAgQJ6U1MVXOaj8PK2l7WJ3RER9xtqwdhxkhw/edit?usp=sharing"",""ลพบุรี!J125"")"),0)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IFERROR(__xludf.DUMMYFUNCTION("IMPORTRANGE(""https://docs.google.com/spreadsheets/d/1SX6NBoVAgQJ6U1MVXOaj8PK2l7WJ3RER9xtqwdhxkhw/edit?usp=sharing"",""ลพบุรี!I126"")"),0)</f>
        <v>0</v>
      </c>
      <c r="J201" s="189">
        <f ca="1">IFERROR(__xludf.DUMMYFUNCTION("IMPORTRANGE(""https://docs.google.com/spreadsheets/d/1SX6NBoVAgQJ6U1MVXOaj8PK2l7WJ3RER9xtqwdhxkhw/edit?usp=sharing"",""ลพบุรี!J126"")"),0)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IFERROR(__xludf.DUMMYFUNCTION("IMPORTRANGE(""https://docs.google.com/spreadsheets/d/1SX6NBoVAgQJ6U1MVXOaj8PK2l7WJ3RER9xtqwdhxkhw/edit?usp=sharing"",""ลพบุรี!J127"")"),0)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IFERROR(__xludf.DUMMYFUNCTION("IMPORTRANGE(""https://docs.google.com/spreadsheets/d/1SX6NBoVAgQJ6U1MVXOaj8PK2l7WJ3RER9xtqwdhxkhw/edit?usp=sharing"",""ลพบุรี!J128"")"),0)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IFERROR(__xludf.DUMMYFUNCTION("IMPORTRANGE(""https://docs.google.com/spreadsheets/d/1SX6NBoVAgQJ6U1MVXOaj8PK2l7WJ3RER9xtqwdhxkhw/edit?usp=sharing"",""ลพบุรี!I129"")"),0)</f>
        <v>0</v>
      </c>
      <c r="J204" s="285">
        <f ca="1">IFERROR(__xludf.DUMMYFUNCTION("IMPORTRANGE(""https://docs.google.com/spreadsheets/d/1SX6NBoVAgQJ6U1MVXOaj8PK2l7WJ3RER9xtqwdhxkhw/edit?usp=sharing"",""ลพบุรี!J129"")"),0)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IFERROR(__xludf.DUMMYFUNCTION("IMPORTRANGE(""https://docs.google.com/spreadsheets/d/1SX6NBoVAgQJ6U1MVXOaj8PK2l7WJ3RER9xtqwdhxkhw/edit?usp=sharing"",""ลพบุรี!J134"")"),0)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IFERROR(__xludf.DUMMYFUNCTION("IMPORTRANGE(""https://docs.google.com/spreadsheets/d/1SX6NBoVAgQJ6U1MVXOaj8PK2l7WJ3RER9xtqwdhxkhw/edit?usp=sharing"",""ลพบุรี!J135"")"),0)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IFERROR(__xludf.DUMMYFUNCTION("IMPORTRANGE(""https://docs.google.com/spreadsheets/d/1SX6NBoVAgQJ6U1MVXOaj8PK2l7WJ3RER9xtqwdhxkhw/edit?usp=sharing"",""ลพบุรี!J136"")"),0)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IFERROR(__xludf.DUMMYFUNCTION("IMPORTRANGE(""https://docs.google.com/spreadsheets/d/1SX6NBoVAgQJ6U1MVXOaj8PK2l7WJ3RER9xtqwdhxkhw/edit?usp=sharing"",""ลพบุรี!J137"")"),0)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IFERROR(__xludf.DUMMYFUNCTION("IMPORTRANGE(""https://docs.google.com/spreadsheets/d/1SX6NBoVAgQJ6U1MVXOaj8PK2l7WJ3RER9xtqwdhxkhw/edit?usp=sharing"",""ลพบุรี!I138"")"),0)</f>
        <v>0</v>
      </c>
      <c r="J213" s="204">
        <f ca="1">IFERROR(__xludf.DUMMYFUNCTION("IMPORTRANGE(""https://docs.google.com/spreadsheets/d/1SX6NBoVAgQJ6U1MVXOaj8PK2l7WJ3RER9xtqwdhxkhw/edit?usp=sharing"",""ลพบุรี!J138"")"),0)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IFERROR(__xludf.DUMMYFUNCTION("IMPORTRANGE(""https://docs.google.com/spreadsheets/d/1SX6NBoVAgQJ6U1MVXOaj8PK2l7WJ3RER9xtqwdhxkhw/edit?usp=sharing"",""ลพบุรี!I140"")"),0)</f>
        <v>0</v>
      </c>
      <c r="J215" s="204">
        <f ca="1">IFERROR(__xludf.DUMMYFUNCTION("IMPORTRANGE(""https://docs.google.com/spreadsheets/d/1SX6NBoVAgQJ6U1MVXOaj8PK2l7WJ3RER9xtqwdhxkhw/edit?usp=sharing"",""ลพบุรี!J140"")"),0)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IFERROR(__xludf.DUMMYFUNCTION("IMPORTRANGE(""https://docs.google.com/spreadsheets/d/1SX6NBoVAgQJ6U1MVXOaj8PK2l7WJ3RER9xtqwdhxkhw/edit?usp=sharing"",""ลพบุรี!I141"")"),0)</f>
        <v>0</v>
      </c>
      <c r="J216" s="204">
        <f ca="1">IFERROR(__xludf.DUMMYFUNCTION("IMPORTRANGE(""https://docs.google.com/spreadsheets/d/1SX6NBoVAgQJ6U1MVXOaj8PK2l7WJ3RER9xtqwdhxkhw/edit?usp=sharing"",""ลพบุรี!J141"")"),0)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IFERROR(__xludf.DUMMYFUNCTION("IMPORTRANGE(""https://docs.google.com/spreadsheets/d/1SX6NBoVAgQJ6U1MVXOaj8PK2l7WJ3RER9xtqwdhxkhw/edit?usp=sharing"",""ลพบุรี!J142"")"),0)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IFERROR(__xludf.DUMMYFUNCTION("IMPORTRANGE(""https://docs.google.com/spreadsheets/d/1SX6NBoVAgQJ6U1MVXOaj8PK2l7WJ3RER9xtqwdhxkhw/edit?usp=sharing"",""ลพบุรี!J143"")"),0)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IFERROR(__xludf.DUMMYFUNCTION("IMPORTRANGE(""https://docs.google.com/spreadsheets/d/1SX6NBoVAgQJ6U1MVXOaj8PK2l7WJ3RER9xtqwdhxkhw/edit?usp=sharing"",""ลพบุรี!I144"")"),15)</f>
        <v>15</v>
      </c>
      <c r="J219" s="268">
        <f ca="1">IFERROR(__xludf.DUMMYFUNCTION("IMPORTRANGE(""https://docs.google.com/spreadsheets/d/1SX6NBoVAgQJ6U1MVXOaj8PK2l7WJ3RER9xtqwdhxkhw/edit?usp=sharing"",""ลพบุรี!J144"")"),15)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IFERROR(__xludf.DUMMYFUNCTION("IMPORTRANGE(""https://docs.google.com/spreadsheets/d/1Yj_ptqi66GCucihVvJfMjLAmec39IyEx_6qawtMGysU/edit?usp=sharing"",""สบก!BS74"")"),21125)</f>
        <v>21125</v>
      </c>
      <c r="N224" s="169">
        <f ca="1">IFERROR(__xludf.DUMMYFUNCTION("IMPORTRANGE(""https://docs.google.com/spreadsheets/d/1Yj_ptqi66GCucihVvJfMjLAmec39IyEx_6qawtMGysU/edit?usp=sharing"",""สบก!BT74"")"),21125)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IFERROR(__xludf.DUMMYFUNCTION("IMPORTRANGE(""https://docs.google.com/spreadsheets/d/1Yj_ptqi66GCucihVvJfMjLAmec39IyEx_6qawtMGysU/edit?usp=sharing"",""สบก!BP74"")"),21125)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IFERROR(__xludf.DUMMYFUNCTION("IMPORTRANGE(""https://docs.google.com/spreadsheets/d/1SX6NBoVAgQJ6U1MVXOaj8PK2l7WJ3RER9xtqwdhxkhw/edit?usp=sharing"",""ลพบุรี!I149"")"),15)</f>
        <v>15</v>
      </c>
      <c r="J229" s="268">
        <f ca="1">IFERROR(__xludf.DUMMYFUNCTION("IMPORTRANGE(""https://docs.google.com/spreadsheets/d/1SX6NBoVAgQJ6U1MVXOaj8PK2l7WJ3RER9xtqwdhxkhw/edit?usp=sharing"",""ลพบุรี!J149"")"),15)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IFERROR(__xludf.DUMMYFUNCTION("IMPORTRANGE(""https://docs.google.com/spreadsheets/d/1SX6NBoVAgQJ6U1MVXOaj8PK2l7WJ3RER9xtqwdhxkhw/edit?usp=sharing"",""ลพบุรี!J151"")"),0)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IFERROR(__xludf.DUMMYFUNCTION("IMPORTRANGE(""https://docs.google.com/spreadsheets/d/1SX6NBoVAgQJ6U1MVXOaj8PK2l7WJ3RER9xtqwdhxkhw/edit?usp=sharing"",""ลพบุรี!J152"")"),0)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IFERROR(__xludf.DUMMYFUNCTION("IMPORTRANGE(""https://docs.google.com/spreadsheets/d/1SX6NBoVAgQJ6U1MVXOaj8PK2l7WJ3RER9xtqwdhxkhw/edit?usp=sharing"",""ลพบุรี!J153"")"),0)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IFERROR(__xludf.DUMMYFUNCTION("IMPORTRANGE(""https://docs.google.com/spreadsheets/d/1SX6NBoVAgQJ6U1MVXOaj8PK2l7WJ3RER9xtqwdhxkhw/edit?usp=sharing"",""ลพบุรี!J154"")"),0)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IFERROR(__xludf.DUMMYFUNCTION("IMPORTRANGE(""https://docs.google.com/spreadsheets/d/1SX6NBoVAgQJ6U1MVXOaj8PK2l7WJ3RER9xtqwdhxkhw/edit?usp=sharing"",""ลพบุรี!I155"")"),15)</f>
        <v>15</v>
      </c>
      <c r="J235" s="189">
        <f ca="1">IFERROR(__xludf.DUMMYFUNCTION("IMPORTRANGE(""https://docs.google.com/spreadsheets/d/1SX6NBoVAgQJ6U1MVXOaj8PK2l7WJ3RER9xtqwdhxkhw/edit?usp=sharing"",""ลพบุรี!J155"")"),15)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IFERROR(__xludf.DUMMYFUNCTION("IMPORTRANGE(""https://docs.google.com/spreadsheets/d/1SX6NBoVAgQJ6U1MVXOaj8PK2l7WJ3RER9xtqwdhxkhw/edit?usp=sharing"",""ลพบุรี!J156"")"),0)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IFERROR(__xludf.DUMMYFUNCTION("IMPORTRANGE(""https://docs.google.com/spreadsheets/d/1SX6NBoVAgQJ6U1MVXOaj8PK2l7WJ3RER9xtqwdhxkhw/edit?usp=sharing"",""ลพบุรี!J157"")"),1)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IFERROR(__xludf.DUMMYFUNCTION("IMPORTRANGE(""https://docs.google.com/spreadsheets/d/1SX6NBoVAgQJ6U1MVXOaj8PK2l7WJ3RER9xtqwdhxkhw/edit?usp=sharing"",""ลพบุรี!I158"")"),0)</f>
        <v>0</v>
      </c>
      <c r="J238" s="268">
        <f ca="1">IFERROR(__xludf.DUMMYFUNCTION("IMPORTRANGE(""https://docs.google.com/spreadsheets/d/1SX6NBoVAgQJ6U1MVXOaj8PK2l7WJ3RER9xtqwdhxkhw/edit?usp=sharing"",""ลพบุรี!J158"")"),0)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IFERROR(__xludf.DUMMYFUNCTION("IMPORTRANGE(""https://docs.google.com/spreadsheets/d/1SX6NBoVAgQJ6U1MVXOaj8PK2l7WJ3RER9xtqwdhxkhw/edit?usp=sharing"",""ลพบุรี!J159"")"),"")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IFERROR(__xludf.DUMMYFUNCTION("IMPORTRANGE(""https://docs.google.com/spreadsheets/d/1SX6NBoVAgQJ6U1MVXOaj8PK2l7WJ3RER9xtqwdhxkhw/edit?usp=sharing"",""ลพบุรี!J161"")"),0)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IFERROR(__xludf.DUMMYFUNCTION("IMPORTRANGE(""https://docs.google.com/spreadsheets/d/1SX6NBoVAgQJ6U1MVXOaj8PK2l7WJ3RER9xtqwdhxkhw/edit?usp=sharing"",""ลพบุรี!J162"")"),0)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IFERROR(__xludf.DUMMYFUNCTION("IMPORTRANGE(""https://docs.google.com/spreadsheets/d/1SX6NBoVAgQJ6U1MVXOaj8PK2l7WJ3RER9xtqwdhxkhw/edit?usp=sharing"",""ลพบุรี!J163"")"),0)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IFERROR(__xludf.DUMMYFUNCTION("IMPORTRANGE(""https://docs.google.com/spreadsheets/d/1SX6NBoVAgQJ6U1MVXOaj8PK2l7WJ3RER9xtqwdhxkhw/edit?usp=sharing"",""ลพบุรี!I164"")"),0)</f>
        <v>0</v>
      </c>
      <c r="J244" s="188">
        <f ca="1">IFERROR(__xludf.DUMMYFUNCTION("IMPORTRANGE(""https://docs.google.com/spreadsheets/d/1SX6NBoVAgQJ6U1MVXOaj8PK2l7WJ3RER9xtqwdhxkhw/edit?usp=sharing"",""ลพบุรี!J164"")"),0)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IFERROR(__xludf.DUMMYFUNCTION("IMPORTRANGE(""https://docs.google.com/spreadsheets/d/1SX6NBoVAgQJ6U1MVXOaj8PK2l7WJ3RER9xtqwdhxkhw/edit?usp=sharing"",""ลพบุรี!J165"")"),0)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IFERROR(__xludf.DUMMYFUNCTION("IMPORTRANGE(""https://docs.google.com/spreadsheets/d/1SX6NBoVAgQJ6U1MVXOaj8PK2l7WJ3RER9xtqwdhxkhw/edit?usp=sharing"",""ลพบุรี!J166"")"),0)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IFERROR(__xludf.DUMMYFUNCTION("IMPORTRANGE(""https://docs.google.com/spreadsheets/d/1SX6NBoVAgQJ6U1MVXOaj8PK2l7WJ3RER9xtqwdhxkhw/edit?usp=sharing"",""ลพบุรี!I169"")"),25)</f>
        <v>25</v>
      </c>
      <c r="J249" s="317">
        <f ca="1">IFERROR(__xludf.DUMMYFUNCTION("IMPORTRANGE(""https://docs.google.com/spreadsheets/d/1SX6NBoVAgQJ6U1MVXOaj8PK2l7WJ3RER9xtqwdhxkhw/edit?usp=sharing"",""ลพบุรี!J169"")"),25)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199500</v>
      </c>
      <c r="M250" s="152">
        <f t="shared" ca="1" si="77"/>
        <v>177500</v>
      </c>
      <c r="N250" s="152">
        <f t="shared" ca="1" si="77"/>
        <v>120120</v>
      </c>
      <c r="O250" s="151">
        <f t="shared" ref="O250:O252" ca="1" si="78">IF(L250&gt;0,N250*100/L250,0)</f>
        <v>60.210526315789473</v>
      </c>
      <c r="P250" s="151">
        <f t="shared" ref="P250:P252" ca="1" si="79">IF(M250&gt;0,N250*100/M250,0)</f>
        <v>67.673239436619724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199500</v>
      </c>
      <c r="M252" s="157">
        <f t="shared" ca="1" si="81"/>
        <v>177500</v>
      </c>
      <c r="N252" s="157">
        <f t="shared" ca="1" si="81"/>
        <v>120120</v>
      </c>
      <c r="O252" s="156">
        <f t="shared" ca="1" si="78"/>
        <v>60.210526315789473</v>
      </c>
      <c r="P252" s="156">
        <f t="shared" ca="1" si="79"/>
        <v>67.673239436619724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199500</v>
      </c>
      <c r="M254" s="168">
        <f ca="1">IFERROR(__xludf.DUMMYFUNCTION("IMPORTRANGE(""https://docs.google.com/spreadsheets/d/1Yj_ptqi66GCucihVvJfMjLAmec39IyEx_6qawtMGysU/edit?usp=sharing"",""สบก!CB74"")"),177500)</f>
        <v>177500</v>
      </c>
      <c r="N254" s="169">
        <f ca="1">IFERROR(__xludf.DUMMYFUNCTION("IMPORTRANGE(""https://docs.google.com/spreadsheets/d/1Yj_ptqi66GCucihVvJfMjLAmec39IyEx_6qawtMGysU/edit?usp=sharing"",""สบก!CC74"")"),120120)</f>
        <v>120120</v>
      </c>
      <c r="O254" s="169">
        <f ca="1">IF(L254&gt;0,N254*100/L254,0)</f>
        <v>60.210526315789473</v>
      </c>
      <c r="P254" s="169">
        <f ca="1">IF(M254&gt;0,N254*100/M254,0)</f>
        <v>67.673239436619724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IFERROR(__xludf.DUMMYFUNCTION("IMPORTRANGE(""https://docs.google.com/spreadsheets/d/1Yj_ptqi66GCucihVvJfMjLAmec39IyEx_6qawtMGysU/edit?usp=sharing"",""สบก!BY74"")"),199500)</f>
        <v>199500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IFERROR(__xludf.DUMMYFUNCTION("IMPORTRANGE(""https://docs.google.com/spreadsheets/d/1SX6NBoVAgQJ6U1MVXOaj8PK2l7WJ3RER9xtqwdhxkhw/edit?usp=sharing"",""ลพบุรี!J175"")"),0)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IFERROR(__xludf.DUMMYFUNCTION("IMPORTRANGE(""https://docs.google.com/spreadsheets/d/1SX6NBoVAgQJ6U1MVXOaj8PK2l7WJ3RER9xtqwdhxkhw/edit?usp=sharing"",""ลพบุรี!J176"")"),1)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IFERROR(__xludf.DUMMYFUNCTION("IMPORTRANGE(""https://docs.google.com/spreadsheets/d/1SX6NBoVAgQJ6U1MVXOaj8PK2l7WJ3RER9xtqwdhxkhw/edit?usp=sharing"",""ลพบุรี!J177"")"),1)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IFERROR(__xludf.DUMMYFUNCTION("IMPORTRANGE(""https://docs.google.com/spreadsheets/d/1SX6NBoVAgQJ6U1MVXOaj8PK2l7WJ3RER9xtqwdhxkhw/edit?usp=sharing"",""ลพบุรี!J178"")"),1)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IFERROR(__xludf.DUMMYFUNCTION("IMPORTRANGE(""https://docs.google.com/spreadsheets/d/1SX6NBoVAgQJ6U1MVXOaj8PK2l7WJ3RER9xtqwdhxkhw/edit?usp=sharing"",""ลพบุรี!I179"")"),1)</f>
        <v>1</v>
      </c>
      <c r="J264" s="189">
        <f ca="1">IFERROR(__xludf.DUMMYFUNCTION("IMPORTRANGE(""https://docs.google.com/spreadsheets/d/1SX6NBoVAgQJ6U1MVXOaj8PK2l7WJ3RER9xtqwdhxkhw/edit?usp=sharing"",""ลพบุรี!J179"")"),1)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IFERROR(__xludf.DUMMYFUNCTION("IMPORTRANGE(""https://docs.google.com/spreadsheets/d/1SX6NBoVAgQJ6U1MVXOaj8PK2l7WJ3RER9xtqwdhxkhw/edit?usp=sharing"",""ลพบุรี!I180"")"),25)</f>
        <v>25</v>
      </c>
      <c r="J265" s="189">
        <f ca="1">IFERROR(__xludf.DUMMYFUNCTION("IMPORTRANGE(""https://docs.google.com/spreadsheets/d/1SX6NBoVAgQJ6U1MVXOaj8PK2l7WJ3RER9xtqwdhxkhw/edit?usp=sharing"",""ลพบุรี!J180"")"),25)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IFERROR(__xludf.DUMMYFUNCTION("IMPORTRANGE(""https://docs.google.com/spreadsheets/d/1SX6NBoVAgQJ6U1MVXOaj8PK2l7WJ3RER9xtqwdhxkhw/edit?usp=sharing"",""ลพบุรี!I181"")"),25)</f>
        <v>25</v>
      </c>
      <c r="J266" s="189">
        <f ca="1">IFERROR(__xludf.DUMMYFUNCTION("IMPORTRANGE(""https://docs.google.com/spreadsheets/d/1SX6NBoVAgQJ6U1MVXOaj8PK2l7WJ3RER9xtqwdhxkhw/edit?usp=sharing"",""ลพบุรี!J181"")"),0)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IFERROR(__xludf.DUMMYFUNCTION("IMPORTRANGE(""https://docs.google.com/spreadsheets/d/1SX6NBoVAgQJ6U1MVXOaj8PK2l7WJ3RER9xtqwdhxkhw/edit?usp=sharing"",""ลพบุรี!I182"")"),1)</f>
        <v>1</v>
      </c>
      <c r="J267" s="189">
        <f ca="1">IFERROR(__xludf.DUMMYFUNCTION("IMPORTRANGE(""https://docs.google.com/spreadsheets/d/1SX6NBoVAgQJ6U1MVXOaj8PK2l7WJ3RER9xtqwdhxkhw/edit?usp=sharing"",""ลพบุรี!J182"")"),1)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IFERROR(__xludf.DUMMYFUNCTION("IMPORTRANGE(""https://docs.google.com/spreadsheets/d/1SX6NBoVAgQJ6U1MVXOaj8PK2l7WJ3RER9xtqwdhxkhw/edit?usp=sharing"",""ลพบุรี!J183"")"),1)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IFERROR(__xludf.DUMMYFUNCTION("IMPORTRANGE(""https://docs.google.com/spreadsheets/d/1SX6NBoVAgQJ6U1MVXOaj8PK2l7WJ3RER9xtqwdhxkhw/edit?usp=sharing"",""ลพบุรี!J184"")"),0)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IFERROR(__xludf.DUMMYFUNCTION("IMPORTRANGE(""https://docs.google.com/spreadsheets/d/1SX6NBoVAgQJ6U1MVXOaj8PK2l7WJ3RER9xtqwdhxkhw/edit?usp=sharing"",""ลพบุรี!I185"")"),15)</f>
        <v>15</v>
      </c>
      <c r="J270" s="317">
        <f ca="1">IFERROR(__xludf.DUMMYFUNCTION("IMPORTRANGE(""https://docs.google.com/spreadsheets/d/1SX6NBoVAgQJ6U1MVXOaj8PK2l7WJ3RER9xtqwdhxkhw/edit?usp=sharing"",""ลพบุรี!J185"")"),15)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19780</v>
      </c>
      <c r="O271" s="151">
        <f t="shared" ref="O271:O273" ca="1" si="84">IF(L271&gt;0,N271*100/L271,0)</f>
        <v>35.833333333333336</v>
      </c>
      <c r="P271" s="151">
        <f t="shared" ref="P271:P273" ca="1" si="85">IF(M271&gt;0,N271*100/M271,0)</f>
        <v>61.333333333333336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19780</v>
      </c>
      <c r="O273" s="156">
        <f t="shared" ca="1" si="84"/>
        <v>35.833333333333336</v>
      </c>
      <c r="P273" s="156">
        <f t="shared" ca="1" si="85"/>
        <v>61.333333333333336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IFERROR(__xludf.DUMMYFUNCTION("IMPORTRANGE(""https://docs.google.com/spreadsheets/d/1Yj_ptqi66GCucihVvJfMjLAmec39IyEx_6qawtMGysU/edit?usp=sharing"",""สบก!CK74"")"),32250)</f>
        <v>32250</v>
      </c>
      <c r="N275" s="169">
        <f ca="1">IFERROR(__xludf.DUMMYFUNCTION("IMPORTRANGE(""https://docs.google.com/spreadsheets/d/1Yj_ptqi66GCucihVvJfMjLAmec39IyEx_6qawtMGysU/edit?usp=sharing"",""สบก!CL74"")"),19780)</f>
        <v>19780</v>
      </c>
      <c r="O275" s="169">
        <f ca="1">IF(L275&gt;0,N275*100/L275,0)</f>
        <v>35.833333333333336</v>
      </c>
      <c r="P275" s="169">
        <f ca="1">IF(M275&gt;0,N275*100/M275,0)</f>
        <v>61.333333333333336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IFERROR(__xludf.DUMMYFUNCTION("IMPORTRANGE(""https://docs.google.com/spreadsheets/d/1Yj_ptqi66GCucihVvJfMjLAmec39IyEx_6qawtMGysU/edit?usp=sharing"",""สบก!CG74"")"),0)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IFERROR(__xludf.DUMMYFUNCTION("IMPORTRANGE(""https://docs.google.com/spreadsheets/d/1Yj_ptqi66GCucihVvJfMjLAmec39IyEx_6qawtMGysU/edit?usp=sharing"",""สบก!CH74"")"),55200)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IFERROR(__xludf.DUMMYFUNCTION("IMPORTRANGE(""https://docs.google.com/spreadsheets/d/1SX6NBoVAgQJ6U1MVXOaj8PK2l7WJ3RER9xtqwdhxkhw/edit?usp=sharing"",""ลพบุรี!J191"")"),0)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IFERROR(__xludf.DUMMYFUNCTION("IMPORTRANGE(""https://docs.google.com/spreadsheets/d/1SX6NBoVAgQJ6U1MVXOaj8PK2l7WJ3RER9xtqwdhxkhw/edit?usp=sharing"",""ลพบุรี!J192"")"),1)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IFERROR(__xludf.DUMMYFUNCTION("IMPORTRANGE(""https://docs.google.com/spreadsheets/d/1SX6NBoVAgQJ6U1MVXOaj8PK2l7WJ3RER9xtqwdhxkhw/edit?usp=sharing"",""ลพบุรี!J193"")"),1)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IFERROR(__xludf.DUMMYFUNCTION("IMPORTRANGE(""https://docs.google.com/spreadsheets/d/1SX6NBoVAgQJ6U1MVXOaj8PK2l7WJ3RER9xtqwdhxkhw/edit?usp=sharing"",""ลพบุรี!J194"")"),1)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IFERROR(__xludf.DUMMYFUNCTION("IMPORTRANGE(""https://docs.google.com/spreadsheets/d/1SX6NBoVAgQJ6U1MVXOaj8PK2l7WJ3RER9xtqwdhxkhw/edit?usp=sharing"",""ลพบุรี!I195"")"),15)</f>
        <v>15</v>
      </c>
      <c r="J285" s="189">
        <f ca="1">IFERROR(__xludf.DUMMYFUNCTION("IMPORTRANGE(""https://docs.google.com/spreadsheets/d/1SX6NBoVAgQJ6U1MVXOaj8PK2l7WJ3RER9xtqwdhxkhw/edit?usp=sharing"",""ลพบุรี!J195"")"),15)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IFERROR(__xludf.DUMMYFUNCTION("IMPORTRANGE(""https://docs.google.com/spreadsheets/d/1SX6NBoVAgQJ6U1MVXOaj8PK2l7WJ3RER9xtqwdhxkhw/edit?usp=sharing"",""ลพบุรี!J196"")"),1)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IFERROR(__xludf.DUMMYFUNCTION("IMPORTRANGE(""https://docs.google.com/spreadsheets/d/1SX6NBoVAgQJ6U1MVXOaj8PK2l7WJ3RER9xtqwdhxkhw/edit?usp=sharing"",""ลพบุรี!J197"")"),0)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IFERROR(__xludf.DUMMYFUNCTION("IMPORTRANGE(""https://docs.google.com/spreadsheets/d/1SX6NBoVAgQJ6U1MVXOaj8PK2l7WJ3RER9xtqwdhxkhw/edit?usp=sharing"",""ลพบุรี!I199"")"),0)</f>
        <v>0</v>
      </c>
      <c r="J289" s="317">
        <f ca="1">IFERROR(__xludf.DUMMYFUNCTION("IMPORTRANGE(""https://docs.google.com/spreadsheets/d/1SX6NBoVAgQJ6U1MVXOaj8PK2l7WJ3RER9xtqwdhxkhw/edit?usp=sharing"",""ลพบุรี!J199"")"),0)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IFERROR(__xludf.DUMMYFUNCTION("IMPORTRANGE(""https://docs.google.com/spreadsheets/d/1Yj_ptqi66GCucihVvJfMjLAmec39IyEx_6qawtMGysU/edit?usp=sharing"",""สบก!CT74"")"),0)</f>
        <v>0</v>
      </c>
      <c r="N294" s="169">
        <f ca="1">IFERROR(__xludf.DUMMYFUNCTION("IMPORTRANGE(""https://docs.google.com/spreadsheets/d/1Yj_ptqi66GCucihVvJfMjLAmec39IyEx_6qawtMGysU/edit?usp=sharing"",""สบก!CU74"")"),0)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IFERROR(__xludf.DUMMYFUNCTION("IMPORTRANGE(""https://docs.google.com/spreadsheets/d/1SX6NBoVAgQJ6U1MVXOaj8PK2l7WJ3RER9xtqwdhxkhw/edit?usp=sharing"",""ลพบุรี!J205"")"),0)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IFERROR(__xludf.DUMMYFUNCTION("IMPORTRANGE(""https://docs.google.com/spreadsheets/d/1SX6NBoVAgQJ6U1MVXOaj8PK2l7WJ3RER9xtqwdhxkhw/edit?usp=sharing"",""ลพบุรี!J206"")"),0)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IFERROR(__xludf.DUMMYFUNCTION("IMPORTRANGE(""https://docs.google.com/spreadsheets/d/1SX6NBoVAgQJ6U1MVXOaj8PK2l7WJ3RER9xtqwdhxkhw/edit?usp=sharing"",""ลพบุรี!J207"")"),0)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IFERROR(__xludf.DUMMYFUNCTION("IMPORTRANGE(""https://docs.google.com/spreadsheets/d/1SX6NBoVAgQJ6U1MVXOaj8PK2l7WJ3RER9xtqwdhxkhw/edit?usp=sharing"",""ลพบุรี!J208"")"),0)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IFERROR(__xludf.DUMMYFUNCTION("IMPORTRANGE(""https://docs.google.com/spreadsheets/d/1SX6NBoVAgQJ6U1MVXOaj8PK2l7WJ3RER9xtqwdhxkhw/edit?usp=sharing"",""ลพบุรี!I209"")"),0)</f>
        <v>0</v>
      </c>
      <c r="J304" s="204">
        <f ca="1">IFERROR(__xludf.DUMMYFUNCTION("IMPORTRANGE(""https://docs.google.com/spreadsheets/d/1SX6NBoVAgQJ6U1MVXOaj8PK2l7WJ3RER9xtqwdhxkhw/edit?usp=sharing"",""ลพบุรี!J209"")"),0)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IFERROR(__xludf.DUMMYFUNCTION("IMPORTRANGE(""https://docs.google.com/spreadsheets/d/1SX6NBoVAgQJ6U1MVXOaj8PK2l7WJ3RER9xtqwdhxkhw/edit?usp=sharing"",""ลพบุรี!I211"")"),0)</f>
        <v>0</v>
      </c>
      <c r="J306" s="204">
        <f ca="1">IFERROR(__xludf.DUMMYFUNCTION("IMPORTRANGE(""https://docs.google.com/spreadsheets/d/1SX6NBoVAgQJ6U1MVXOaj8PK2l7WJ3RER9xtqwdhxkhw/edit?usp=sharing"",""ลพบุรี!J211"")"),0)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IFERROR(__xludf.DUMMYFUNCTION("IMPORTRANGE(""https://docs.google.com/spreadsheets/d/1SX6NBoVAgQJ6U1MVXOaj8PK2l7WJ3RER9xtqwdhxkhw/edit?usp=sharing"",""ลพบุรี!J212"")"),0)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IFERROR(__xludf.DUMMYFUNCTION("IMPORTRANGE(""https://docs.google.com/spreadsheets/d/1SX6NBoVAgQJ6U1MVXOaj8PK2l7WJ3RER9xtqwdhxkhw/edit?usp=sharing"",""ลพบุรี!J213"")"),0)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IFERROR(__xludf.DUMMYFUNCTION("IMPORTRANGE(""https://docs.google.com/spreadsheets/d/1SX6NBoVAgQJ6U1MVXOaj8PK2l7WJ3RER9xtqwdhxkhw/edit?usp=sharing"",""ลพบุรี!I214"")"),0)</f>
        <v>0</v>
      </c>
      <c r="J309" s="334">
        <f ca="1">IFERROR(__xludf.DUMMYFUNCTION("IMPORTRANGE(""https://docs.google.com/spreadsheets/d/1SX6NBoVAgQJ6U1MVXOaj8PK2l7WJ3RER9xtqwdhxkhw/edit?usp=sharing"",""ลพบุรี!J214"")"),0)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IFERROR(__xludf.DUMMYFUNCTION("IMPORTRANGE(""https://docs.google.com/spreadsheets/d/1Yj_ptqi66GCucihVvJfMjLAmec39IyEx_6qawtMGysU/edit?usp=sharing"",""สบก!DC74"")"),0)</f>
        <v>0</v>
      </c>
      <c r="N314" s="169">
        <f ca="1">IFERROR(__xludf.DUMMYFUNCTION("IMPORTRANGE(""https://docs.google.com/spreadsheets/d/1Yj_ptqi66GCucihVvJfMjLAmec39IyEx_6qawtMGysU/edit?usp=sharing"",""สบก!DD74"")"),0)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IFERROR(__xludf.DUMMYFUNCTION("IMPORTRANGE(""https://docs.google.com/spreadsheets/d/1SX6NBoVAgQJ6U1MVXOaj8PK2l7WJ3RER9xtqwdhxkhw/edit?usp=sharing"",""ลพบุรี!J220"")"),0)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IFERROR(__xludf.DUMMYFUNCTION("IMPORTRANGE(""https://docs.google.com/spreadsheets/d/1SX6NBoVAgQJ6U1MVXOaj8PK2l7WJ3RER9xtqwdhxkhw/edit?usp=sharing"",""ลพบุรี!J221"")"),0)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IFERROR(__xludf.DUMMYFUNCTION("IMPORTRANGE(""https://docs.google.com/spreadsheets/d/1SX6NBoVAgQJ6U1MVXOaj8PK2l7WJ3RER9xtqwdhxkhw/edit?usp=sharing"",""ลพบุรี!J222"")"),0)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IFERROR(__xludf.DUMMYFUNCTION("IMPORTRANGE(""https://docs.google.com/spreadsheets/d/1SX6NBoVAgQJ6U1MVXOaj8PK2l7WJ3RER9xtqwdhxkhw/edit?usp=sharing"",""ลพบุรี!J223"")"),0)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IFERROR(__xludf.DUMMYFUNCTION("IMPORTRANGE(""https://docs.google.com/spreadsheets/d/1SX6NBoVAgQJ6U1MVXOaj8PK2l7WJ3RER9xtqwdhxkhw/edit?usp=sharing"",""ลพบุรี!I224"")"),0)</f>
        <v>0</v>
      </c>
      <c r="J324" s="204">
        <f ca="1">IFERROR(__xludf.DUMMYFUNCTION("IMPORTRANGE(""https://docs.google.com/spreadsheets/d/1SX6NBoVAgQJ6U1MVXOaj8PK2l7WJ3RER9xtqwdhxkhw/edit?usp=sharing"",""ลพบุรี!J224"")"),0)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IFERROR(__xludf.DUMMYFUNCTION("IMPORTRANGE(""https://docs.google.com/spreadsheets/d/1SX6NBoVAgQJ6U1MVXOaj8PK2l7WJ3RER9xtqwdhxkhw/edit?usp=sharing"",""ลพบุรี!J225"")"),0)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IFERROR(__xludf.DUMMYFUNCTION("IMPORTRANGE(""https://docs.google.com/spreadsheets/d/1SX6NBoVAgQJ6U1MVXOaj8PK2l7WJ3RER9xtqwdhxkhw/edit?usp=sharing"",""ลพบุรี!J226"")"),0)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IFERROR(__xludf.DUMMYFUNCTION("IMPORTRANGE(""https://docs.google.com/spreadsheets/d/1SX6NBoVAgQJ6U1MVXOaj8PK2l7WJ3RER9xtqwdhxkhw/edit?usp=sharing"",""ลพบุรี!I228"")"),170)</f>
        <v>170</v>
      </c>
      <c r="J328" s="340">
        <f ca="1">IFERROR(__xludf.DUMMYFUNCTION("IMPORTRANGE(""https://docs.google.com/spreadsheets/d/1SX6NBoVAgQJ6U1MVXOaj8PK2l7WJ3RER9xtqwdhxkhw/edit?usp=sharing"",""ลพบุรี!J228"")"),94)</f>
        <v>94</v>
      </c>
      <c r="K328" s="318">
        <f ca="1">IF(I328&gt;0,J328*100/I328,0)</f>
        <v>55.294117647058826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960550</v>
      </c>
      <c r="M329" s="152">
        <f t="shared" ca="1" si="98"/>
        <v>774900</v>
      </c>
      <c r="N329" s="152">
        <f t="shared" ca="1" si="98"/>
        <v>545968</v>
      </c>
      <c r="O329" s="151">
        <f t="shared" ref="O329:O331" ca="1" si="99">IF(L329&gt;0,N329*100/L329,0)</f>
        <v>56.839102597470202</v>
      </c>
      <c r="P329" s="151">
        <f t="shared" ref="P329:P331" ca="1" si="100">IF(M329&gt;0,N329*100/M329,0)</f>
        <v>70.456575041940894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960550</v>
      </c>
      <c r="M331" s="157">
        <f t="shared" ca="1" si="102"/>
        <v>774900</v>
      </c>
      <c r="N331" s="157">
        <f t="shared" ca="1" si="102"/>
        <v>545968</v>
      </c>
      <c r="O331" s="156">
        <f t="shared" ca="1" si="99"/>
        <v>56.839102597470202</v>
      </c>
      <c r="P331" s="156">
        <f t="shared" ca="1" si="100"/>
        <v>70.456575041940894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960550</v>
      </c>
      <c r="M333" s="168">
        <f ca="1">IFERROR(__xludf.DUMMYFUNCTION("IMPORTRANGE(""https://docs.google.com/spreadsheets/d/1Yj_ptqi66GCucihVvJfMjLAmec39IyEx_6qawtMGysU/edit?usp=sharing"",""สบก!DL74"")"),774900)</f>
        <v>774900</v>
      </c>
      <c r="N333" s="169">
        <f ca="1">IFERROR(__xludf.DUMMYFUNCTION("IMPORTRANGE(""https://docs.google.com/spreadsheets/d/1Yj_ptqi66GCucihVvJfMjLAmec39IyEx_6qawtMGysU/edit?usp=sharing"",""สบก!DM74"")"),545968)</f>
        <v>545968</v>
      </c>
      <c r="O333" s="169">
        <f ca="1">IF(L333&gt;0,N333*100/L333,0)</f>
        <v>56.839102597470202</v>
      </c>
      <c r="P333" s="169">
        <f ca="1">IF(M333&gt;0,N333*100/M333,0)</f>
        <v>70.456575041940894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IFERROR(__xludf.DUMMYFUNCTION("IMPORTRANGE(""https://docs.google.com/spreadsheets/d/1Yj_ptqi66GCucihVvJfMjLAmec39IyEx_6qawtMGysU/edit?usp=sharing"",""สบก!DH74"")"),500400)</f>
        <v>500400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IFERROR(__xludf.DUMMYFUNCTION("IMPORTRANGE(""https://docs.google.com/spreadsheets/d/1Yj_ptqi66GCucihVvJfMjLAmec39IyEx_6qawtMGysU/edit?usp=sharing"",""สบก!DI74"")"),460150)</f>
        <v>460150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IFERROR(__xludf.DUMMYFUNCTION("IMPORTRANGE(""https://docs.google.com/spreadsheets/d/1SX6NBoVAgQJ6U1MVXOaj8PK2l7WJ3RER9xtqwdhxkhw/edit?usp=sharing"",""ลพบุรี!I234"")"),0)</f>
        <v>0</v>
      </c>
      <c r="J339" s="188">
        <f ca="1">IFERROR(__xludf.DUMMYFUNCTION("IMPORTRANGE(""https://docs.google.com/spreadsheets/d/1SX6NBoVAgQJ6U1MVXOaj8PK2l7WJ3RER9xtqwdhxkhw/edit?usp=sharing"",""ลพบุรี!J234"")"),207)</f>
        <v>207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IFERROR(__xludf.DUMMYFUNCTION("IMPORTRANGE(""https://docs.google.com/spreadsheets/d/1SX6NBoVAgQJ6U1MVXOaj8PK2l7WJ3RER9xtqwdhxkhw/edit?usp=sharing"",""ลพบุรี!I235"")"),3250)</f>
        <v>3250</v>
      </c>
      <c r="J340" s="188">
        <f ca="1">IFERROR(__xludf.DUMMYFUNCTION("IMPORTRANGE(""https://docs.google.com/spreadsheets/d/1SX6NBoVAgQJ6U1MVXOaj8PK2l7WJ3RER9xtqwdhxkhw/edit?usp=sharing"",""ลพบุรี!J235"")"),2190.72)</f>
        <v>2190.7199999999998</v>
      </c>
      <c r="K340" s="343">
        <f t="shared" ca="1" si="103"/>
        <v>67.406769230769228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IFERROR(__xludf.DUMMYFUNCTION("IMPORTRANGE(""https://docs.google.com/spreadsheets/d/1SX6NBoVAgQJ6U1MVXOaj8PK2l7WJ3RER9xtqwdhxkhw/edit?usp=sharing"",""ลพบุรี!I236"")"),170)</f>
        <v>170</v>
      </c>
      <c r="J341" s="188">
        <f ca="1">IFERROR(__xludf.DUMMYFUNCTION("IMPORTRANGE(""https://docs.google.com/spreadsheets/d/1SX6NBoVAgQJ6U1MVXOaj8PK2l7WJ3RER9xtqwdhxkhw/edit?usp=sharing"",""ลพบุรี!J236"")"),213)</f>
        <v>213</v>
      </c>
      <c r="K341" s="343">
        <f t="shared" ca="1" si="103"/>
        <v>125.29411764705883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8">
        <f ca="1">IFERROR(__xludf.DUMMYFUNCTION("IMPORTRANGE(""https://docs.google.com/spreadsheets/d/1SX6NBoVAgQJ6U1MVXOaj8PK2l7WJ3RER9xtqwdhxkhw/edit?usp=sharing"",""ลพบุรี!J237"")"),2721.22)</f>
        <v>2721.22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IFERROR(__xludf.DUMMYFUNCTION("IMPORTRANGE(""https://docs.google.com/spreadsheets/d/1SX6NBoVAgQJ6U1MVXOaj8PK2l7WJ3RER9xtqwdhxkhw/edit?usp=sharing"",""ลพบุรี!I238"")"),170)</f>
        <v>170</v>
      </c>
      <c r="J343" s="188">
        <f ca="1">IFERROR(__xludf.DUMMYFUNCTION("IMPORTRANGE(""https://docs.google.com/spreadsheets/d/1SX6NBoVAgQJ6U1MVXOaj8PK2l7WJ3RER9xtqwdhxkhw/edit?usp=sharing"",""ลพบุรี!J238"")"),36)</f>
        <v>36</v>
      </c>
      <c r="K343" s="343">
        <f t="shared" ca="1" si="103"/>
        <v>21.176470588235293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8">
        <f ca="1">IFERROR(__xludf.DUMMYFUNCTION("IMPORTRANGE(""https://docs.google.com/spreadsheets/d/1SX6NBoVAgQJ6U1MVXOaj8PK2l7WJ3RER9xtqwdhxkhw/edit?usp=sharing"",""ลพบุรี!J239"")"),427.78)</f>
        <v>427.78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IFERROR(__xludf.DUMMYFUNCTION("IMPORTRANGE(""https://docs.google.com/spreadsheets/d/1SX6NBoVAgQJ6U1MVXOaj8PK2l7WJ3RER9xtqwdhxkhw/edit?usp=sharing"",""ลพบุรี!I240"")"),170)</f>
        <v>170</v>
      </c>
      <c r="J345" s="188">
        <f ca="1">IFERROR(__xludf.DUMMYFUNCTION("IMPORTRANGE(""https://docs.google.com/spreadsheets/d/1SX6NBoVAgQJ6U1MVXOaj8PK2l7WJ3RER9xtqwdhxkhw/edit?usp=sharing"",""ลพบุรี!J240"")"),94)</f>
        <v>94</v>
      </c>
      <c r="K345" s="343">
        <f t="shared" ca="1" si="103"/>
        <v>55.294117647058826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8">
        <f ca="1">IFERROR(__xludf.DUMMYFUNCTION("IMPORTRANGE(""https://docs.google.com/spreadsheets/d/1SX6NBoVAgQJ6U1MVXOaj8PK2l7WJ3RER9xtqwdhxkhw/edit?usp=sharing"",""ลพบุรี!J241"")"),1519.31)</f>
        <v>1519.31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IFERROR(__xludf.DUMMYFUNCTION("IMPORTRANGE(""https://docs.google.com/spreadsheets/d/1SX6NBoVAgQJ6U1MVXOaj8PK2l7WJ3RER9xtqwdhxkhw/edit?usp=sharing"",""ลพบุรี!L242"")"),2555701)</f>
        <v>2555701</v>
      </c>
      <c r="M347" s="358"/>
      <c r="N347" s="358">
        <f ca="1">IFERROR(__xludf.DUMMYFUNCTION("IMPORTRANGE(""https://docs.google.com/spreadsheets/d/1SX6NBoVAgQJ6U1MVXOaj8PK2l7WJ3RER9xtqwdhxkhw/edit?usp=sharing"",""ลพบุรี!M242"")"),807460.15)</f>
        <v>807460.15</v>
      </c>
      <c r="O347" s="358">
        <f ca="1">+IF(L347&gt;0,N347*100/L347,0)</f>
        <v>31.594468601765229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IFERROR(__xludf.DUMMYFUNCTION("IMPORTRANGE(""https://docs.google.com/spreadsheets/d/1SX6NBoVAgQJ6U1MVXOaj8PK2l7WJ3RER9xtqwdhxkhw/edit?usp=sharing"",""ลพบุรี!M244"")"),111118)</f>
        <v>111118</v>
      </c>
      <c r="O349" s="373">
        <f ca="1">+IF(L349&gt;0,N349*100/L349,0)</f>
        <v>38.427860008299902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IFERROR(__xludf.DUMMYFUNCTION("IMPORTRANGE(""https://docs.google.com/spreadsheets/d/1SX6NBoVAgQJ6U1MVXOaj8PK2l7WJ3RER9xtqwdhxkhw/edit?usp=sharing"",""ลพบุรี!L246"")"),0)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IFERROR(__xludf.DUMMYFUNCTION("IMPORTRANGE(""https://docs.google.com/spreadsheets/d/1SX6NBoVAgQJ6U1MVXOaj8PK2l7WJ3RER9xtqwdhxkhw/edit?usp=sharing"",""ลพบุรี!M246"")"),0)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IFERROR(__xludf.DUMMYFUNCTION("IMPORTRANGE(""https://docs.google.com/spreadsheets/d/1SX6NBoVAgQJ6U1MVXOaj8PK2l7WJ3RER9xtqwdhxkhw/edit?usp=sharing"",""ลพบุรี!L247"")"),289160)</f>
        <v>289160</v>
      </c>
      <c r="M352" s="165"/>
      <c r="N352" s="164">
        <f ca="1">IFERROR(__xludf.DUMMYFUNCTION("IMPORTRANGE(""https://docs.google.com/spreadsheets/d/1SX6NBoVAgQJ6U1MVXOaj8PK2l7WJ3RER9xtqwdhxkhw/edit?usp=sharing"",""ลพบุรี!M247"")"),111118)</f>
        <v>111118</v>
      </c>
      <c r="O352" s="165">
        <f t="shared" ca="1" si="105"/>
        <v>38.427860008299902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IFERROR(__xludf.DUMMYFUNCTION("IMPORTRANGE(""https://docs.google.com/spreadsheets/d/1SX6NBoVAgQJ6U1MVXOaj8PK2l7WJ3RER9xtqwdhxkhw/edit?usp=sharing"",""ลพบุรี!L248"")"),0)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IFERROR(__xludf.DUMMYFUNCTION("IMPORTRANGE(""https://docs.google.com/spreadsheets/d/1SX6NBoVAgQJ6U1MVXOaj8PK2l7WJ3RER9xtqwdhxkhw/edit?usp=sharing"",""ลพบุรี!M248"")"),0)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IFERROR(__xludf.DUMMYFUNCTION("IMPORTRANGE(""https://docs.google.com/spreadsheets/d/1SX6NBoVAgQJ6U1MVXOaj8PK2l7WJ3RER9xtqwdhxkhw/edit?usp=sharing"",""ลพบุรี!L249"")"),289160)</f>
        <v>289160</v>
      </c>
      <c r="M354" s="169"/>
      <c r="N354" s="168">
        <f ca="1">IFERROR(__xludf.DUMMYFUNCTION("IMPORTRANGE(""https://docs.google.com/spreadsheets/d/1SX6NBoVAgQJ6U1MVXOaj8PK2l7WJ3RER9xtqwdhxkhw/edit?usp=sharing"",""ลพบุรี!M249"")"),111118)</f>
        <v>111118</v>
      </c>
      <c r="O354" s="169">
        <f t="shared" ca="1" si="105"/>
        <v>38.427860008299902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IFERROR(__xludf.DUMMYFUNCTION("IMPORTRANGE(""https://docs.google.com/spreadsheets/d/1SX6NBoVAgQJ6U1MVXOaj8PK2l7WJ3RER9xtqwdhxkhw/edit?usp=sharing"",""ลพบุรี!M250"")"),50400)</f>
        <v>50400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IFERROR(__xludf.DUMMYFUNCTION("IMPORTRANGE(""https://docs.google.com/spreadsheets/d/1SX6NBoVAgQJ6U1MVXOaj8PK2l7WJ3RER9xtqwdhxkhw/edit?usp=sharing"",""ลพบุรี!M251"")"),0)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IFERROR(__xludf.DUMMYFUNCTION("IMPORTRANGE(""https://docs.google.com/spreadsheets/d/1SX6NBoVAgQJ6U1MVXOaj8PK2l7WJ3RER9xtqwdhxkhw/edit?usp=sharing"",""ลพบุรี!M252"")"),48218)</f>
        <v>48218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IFERROR(__xludf.DUMMYFUNCTION("IMPORTRANGE(""https://docs.google.com/spreadsheets/d/1SX6NBoVAgQJ6U1MVXOaj8PK2l7WJ3RER9xtqwdhxkhw/edit?usp=sharing"",""ลพบุรี!M253"")"),12500)</f>
        <v>12500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IFERROR(__xludf.DUMMYFUNCTION("IMPORTRANGE(""https://docs.google.com/spreadsheets/d/1SX6NBoVAgQJ6U1MVXOaj8PK2l7WJ3RER9xtqwdhxkhw/edit?usp=sharing"",""ลพบุรี!J255"")"),0)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IFERROR(__xludf.DUMMYFUNCTION("IMPORTRANGE(""https://docs.google.com/spreadsheets/d/1SX6NBoVAgQJ6U1MVXOaj8PK2l7WJ3RER9xtqwdhxkhw/edit?usp=sharing"",""ลพบุรี!J256"")"),1)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IFERROR(__xludf.DUMMYFUNCTION("IMPORTRANGE(""https://docs.google.com/spreadsheets/d/1SX6NBoVAgQJ6U1MVXOaj8PK2l7WJ3RER9xtqwdhxkhw/edit?usp=sharing"",""ลพบุรี!J257"")"),1)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IFERROR(__xludf.DUMMYFUNCTION("IMPORTRANGE(""https://docs.google.com/spreadsheets/d/1SX6NBoVAgQJ6U1MVXOaj8PK2l7WJ3RER9xtqwdhxkhw/edit?usp=sharing"",""ลพบุรี!J258"")"),1)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IFERROR(__xludf.DUMMYFUNCTION("IMPORTRANGE(""https://docs.google.com/spreadsheets/d/1SX6NBoVAgQJ6U1MVXOaj8PK2l7WJ3RER9xtqwdhxkhw/edit?usp=sharing"",""ลพบุรี!J166"")"),0)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IFERROR(__xludf.DUMMYFUNCTION("IMPORTRANGE(""https://docs.google.com/spreadsheets/d/1SX6NBoVAgQJ6U1MVXOaj8PK2l7WJ3RER9xtqwdhxkhw/edit?usp=sharing"",""ลพบุรี!J166"")"),0)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IFERROR(__xludf.DUMMYFUNCTION("IMPORTRANGE(""https://docs.google.com/spreadsheets/d/1SX6NBoVAgQJ6U1MVXOaj8PK2l7WJ3RER9xtqwdhxkhw/edit?usp=sharing"",""ลพบุรี!J166"")"),0)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IFERROR(__xludf.DUMMYFUNCTION("IMPORTRANGE(""https://docs.google.com/spreadsheets/d/1SX6NBoVAgQJ6U1MVXOaj8PK2l7WJ3RER9xtqwdhxkhw/edit?usp=sharing"",""ลพบุรี!J166"")"),0)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IFERROR(__xludf.DUMMYFUNCTION("IMPORTRANGE(""https://docs.google.com/spreadsheets/d/1SX6NBoVAgQJ6U1MVXOaj8PK2l7WJ3RER9xtqwdhxkhw/edit?usp=sharing"",""ลพบุรี!I263"")"),40)</f>
        <v>40</v>
      </c>
      <c r="J368" s="188">
        <f ca="1">IFERROR(__xludf.DUMMYFUNCTION("IMPORTRANGE(""https://docs.google.com/spreadsheets/d/1SX6NBoVAgQJ6U1MVXOaj8PK2l7WJ3RER9xtqwdhxkhw/edit?usp=sharing"",""ลพบุรี!J263"")"),40)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IFERROR(__xludf.DUMMYFUNCTION("IMPORTRANGE(""https://docs.google.com/spreadsheets/d/1SX6NBoVAgQJ6U1MVXOaj8PK2l7WJ3RER9xtqwdhxkhw/edit?usp=sharing"",""ลพบุรี!I164"")"),0)</f>
        <v>0</v>
      </c>
      <c r="J369" s="204">
        <f ca="1">IFERROR(__xludf.DUMMYFUNCTION("IMPORTRANGE(""https://docs.google.com/spreadsheets/d/1SX6NBoVAgQJ6U1MVXOaj8PK2l7WJ3RER9xtqwdhxkhw/edit?usp=sharing"",""ลพบุรี!J164"")"),0)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IFERROR(__xludf.DUMMYFUNCTION("IMPORTRANGE(""https://docs.google.com/spreadsheets/d/1SX6NBoVAgQJ6U1MVXOaj8PK2l7WJ3RER9xtqwdhxkhw/edit?usp=sharing"",""ลพบุรี!I265"")"),40)</f>
        <v>40</v>
      </c>
      <c r="J370" s="204">
        <f ca="1">IFERROR(__xludf.DUMMYFUNCTION("IMPORTRANGE(""https://docs.google.com/spreadsheets/d/1SX6NBoVAgQJ6U1MVXOaj8PK2l7WJ3RER9xtqwdhxkhw/edit?usp=sharing"",""ลพบุรี!J265"")"),20)</f>
        <v>20</v>
      </c>
      <c r="K370" s="163">
        <f t="shared" ca="1" si="106"/>
        <v>50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IFERROR(__xludf.DUMMYFUNCTION("IMPORTRANGE(""https://docs.google.com/spreadsheets/d/1SX6NBoVAgQJ6U1MVXOaj8PK2l7WJ3RER9xtqwdhxkhw/edit?usp=sharing"",""ลพบุรี!I164"")"),0)</f>
        <v>0</v>
      </c>
      <c r="J371" s="189">
        <f ca="1">IFERROR(__xludf.DUMMYFUNCTION("IMPORTRANGE(""https://docs.google.com/spreadsheets/d/1SX6NBoVAgQJ6U1MVXOaj8PK2l7WJ3RER9xtqwdhxkhw/edit?usp=sharing"",""ลพบุรี!J164"")"),0)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IFERROR(__xludf.DUMMYFUNCTION("IMPORTRANGE(""https://docs.google.com/spreadsheets/d/1SX6NBoVAgQJ6U1MVXOaj8PK2l7WJ3RER9xtqwdhxkhw/edit?usp=sharing"",""ลพบุรี!I267"")"),40)</f>
        <v>40</v>
      </c>
      <c r="J372" s="189">
        <f ca="1">IFERROR(__xludf.DUMMYFUNCTION("IMPORTRANGE(""https://docs.google.com/spreadsheets/d/1SX6NBoVAgQJ6U1MVXOaj8PK2l7WJ3RER9xtqwdhxkhw/edit?usp=sharing"",""ลพบุรี!J267"")"),20)</f>
        <v>20</v>
      </c>
      <c r="K372" s="163">
        <f t="shared" ca="1" si="106"/>
        <v>50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IFERROR(__xludf.DUMMYFUNCTION("IMPORTRANGE(""https://docs.google.com/spreadsheets/d/1SX6NBoVAgQJ6U1MVXOaj8PK2l7WJ3RER9xtqwdhxkhw/edit?usp=sharing"",""ลพบุรี!I164"")"),0)</f>
        <v>0</v>
      </c>
      <c r="J373" s="204">
        <f ca="1">IFERROR(__xludf.DUMMYFUNCTION("IMPORTRANGE(""https://docs.google.com/spreadsheets/d/1SX6NBoVAgQJ6U1MVXOaj8PK2l7WJ3RER9xtqwdhxkhw/edit?usp=sharing"",""ลพบุรี!J164"")"),0)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IFERROR(__xludf.DUMMYFUNCTION("IMPORTRANGE(""https://docs.google.com/spreadsheets/d/1SX6NBoVAgQJ6U1MVXOaj8PK2l7WJ3RER9xtqwdhxkhw/edit?usp=sharing"",""ลพบุรี!I164"")"),0)</f>
        <v>0</v>
      </c>
      <c r="J374" s="188">
        <f ca="1">IFERROR(__xludf.DUMMYFUNCTION("IMPORTRANGE(""https://docs.google.com/spreadsheets/d/1SX6NBoVAgQJ6U1MVXOaj8PK2l7WJ3RER9xtqwdhxkhw/edit?usp=sharing"",""ลพบุรี!J164"")"),0)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IFERROR(__xludf.DUMMYFUNCTION("IMPORTRANGE(""https://docs.google.com/spreadsheets/d/1SX6NBoVAgQJ6U1MVXOaj8PK2l7WJ3RER9xtqwdhxkhw/edit?usp=sharing"",""ลพบุรี!I270"")"),60)</f>
        <v>60</v>
      </c>
      <c r="J375" s="188">
        <f ca="1">IFERROR(__xludf.DUMMYFUNCTION("IMPORTRANGE(""https://docs.google.com/spreadsheets/d/1SX6NBoVAgQJ6U1MVXOaj8PK2l7WJ3RER9xtqwdhxkhw/edit?usp=sharing"",""ลพบุรี!J270"")"),0)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IFERROR(__xludf.DUMMYFUNCTION("IMPORTRANGE(""https://docs.google.com/spreadsheets/d/1SX6NBoVAgQJ6U1MVXOaj8PK2l7WJ3RER9xtqwdhxkhw/edit?usp=sharing"",""ลพบุรี!I271"")"),30)</f>
        <v>30</v>
      </c>
      <c r="J376" s="189">
        <f ca="1">IFERROR(__xludf.DUMMYFUNCTION("IMPORTRANGE(""https://docs.google.com/spreadsheets/d/1SX6NBoVAgQJ6U1MVXOaj8PK2l7WJ3RER9xtqwdhxkhw/edit?usp=sharing"",""ลพบุรี!J271"")"),0)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IFERROR(__xludf.DUMMYFUNCTION("IMPORTRANGE(""https://docs.google.com/spreadsheets/d/1SX6NBoVAgQJ6U1MVXOaj8PK2l7WJ3RER9xtqwdhxkhw/edit?usp=sharing"",""ลพบุรี!I272"")"),30)</f>
        <v>30</v>
      </c>
      <c r="J377" s="204">
        <f ca="1">IFERROR(__xludf.DUMMYFUNCTION("IMPORTRANGE(""https://docs.google.com/spreadsheets/d/1SX6NBoVAgQJ6U1MVXOaj8PK2l7WJ3RER9xtqwdhxkhw/edit?usp=sharing"",""ลพบุรี!J272"")"),0)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IFERROR(__xludf.DUMMYFUNCTION("IMPORTRANGE(""https://docs.google.com/spreadsheets/d/1SX6NBoVAgQJ6U1MVXOaj8PK2l7WJ3RER9xtqwdhxkhw/edit?usp=sharing"",""ลพบุรี!J273"")"),1)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IFERROR(__xludf.DUMMYFUNCTION("IMPORTRANGE(""https://docs.google.com/spreadsheets/d/1SX6NBoVAgQJ6U1MVXOaj8PK2l7WJ3RER9xtqwdhxkhw/edit?usp=sharing"",""ลพบุรี!J274"")"),0)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IFERROR(__xludf.DUMMYFUNCTION("IMPORTRANGE(""https://docs.google.com/spreadsheets/d/1SX6NBoVAgQJ6U1MVXOaj8PK2l7WJ3RER9xtqwdhxkhw/edit?usp=sharing"",""ลพบุรี!M275"")"),259445)</f>
        <v>259445</v>
      </c>
      <c r="O380" s="373">
        <f ca="1">+IF(L380&gt;0,N380*100/L380,0)</f>
        <v>25.225080698479367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IFERROR(__xludf.DUMMYFUNCTION("IMPORTRANGE(""https://docs.google.com/spreadsheets/d/1SX6NBoVAgQJ6U1MVXOaj8PK2l7WJ3RER9xtqwdhxkhw/edit?usp=sharing"",""ลพบุรี!L277"")"),0)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IFERROR(__xludf.DUMMYFUNCTION("IMPORTRANGE(""https://docs.google.com/spreadsheets/d/1SX6NBoVAgQJ6U1MVXOaj8PK2l7WJ3RER9xtqwdhxkhw/edit?usp=sharing"",""ลพบุรี!M277"")"),0)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IFERROR(__xludf.DUMMYFUNCTION("IMPORTRANGE(""https://docs.google.com/spreadsheets/d/1SX6NBoVAgQJ6U1MVXOaj8PK2l7WJ3RER9xtqwdhxkhw/edit?usp=sharing"",""ลพบุรี!L278"")"),1028520)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IFERROR(__xludf.DUMMYFUNCTION("IMPORTRANGE(""https://docs.google.com/spreadsheets/d/1SX6NBoVAgQJ6U1MVXOaj8PK2l7WJ3RER9xtqwdhxkhw/edit?usp=sharing"",""ลพบุรี!M278"")"),259445)</f>
        <v>259445</v>
      </c>
      <c r="O383" s="165">
        <f t="shared" ca="1" si="109"/>
        <v>25.225080698479367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IFERROR(__xludf.DUMMYFUNCTION("IMPORTRANGE(""https://docs.google.com/spreadsheets/d/1SX6NBoVAgQJ6U1MVXOaj8PK2l7WJ3RER9xtqwdhxkhw/edit?usp=sharing"",""ลพบุรี!L279"")"),0)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IFERROR(__xludf.DUMMYFUNCTION("IMPORTRANGE(""https://docs.google.com/spreadsheets/d/1SX6NBoVAgQJ6U1MVXOaj8PK2l7WJ3RER9xtqwdhxkhw/edit?usp=sharing"",""ลพบุรี!M279"")"),0)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IFERROR(__xludf.DUMMYFUNCTION("IMPORTRANGE(""https://docs.google.com/spreadsheets/d/1SX6NBoVAgQJ6U1MVXOaj8PK2l7WJ3RER9xtqwdhxkhw/edit?usp=sharing"",""ลพบุรี!L280"")"),1028520)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IFERROR(__xludf.DUMMYFUNCTION("IMPORTRANGE(""https://docs.google.com/spreadsheets/d/1SX6NBoVAgQJ6U1MVXOaj8PK2l7WJ3RER9xtqwdhxkhw/edit?usp=sharing"",""ลพบุรี!M280"")"),259445)</f>
        <v>259445</v>
      </c>
      <c r="O385" s="169">
        <f t="shared" ca="1" si="109"/>
        <v>25.225080698479367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IFERROR(__xludf.DUMMYFUNCTION("IMPORTRANGE(""https://docs.google.com/spreadsheets/d/1SX6NBoVAgQJ6U1MVXOaj8PK2l7WJ3RER9xtqwdhxkhw/edit?usp=sharing"",""ลพบุรี!M282"")"),0)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IFERROR(__xludf.DUMMYFUNCTION("IMPORTRANGE(""https://docs.google.com/spreadsheets/d/1SX6NBoVAgQJ6U1MVXOaj8PK2l7WJ3RER9xtqwdhxkhw/edit?usp=sharing"",""ลพบุรี!M283"")"),41515)</f>
        <v>41515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IFERROR(__xludf.DUMMYFUNCTION("IMPORTRANGE(""https://docs.google.com/spreadsheets/d/1SX6NBoVAgQJ6U1MVXOaj8PK2l7WJ3RER9xtqwdhxkhw/edit?usp=sharing"",""ลพบุรี!M284"")"),20430)</f>
        <v>20430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IFERROR(__xludf.DUMMYFUNCTION("IMPORTRANGE(""https://docs.google.com/spreadsheets/d/1SX6NBoVAgQJ6U1MVXOaj8PK2l7WJ3RER9xtqwdhxkhw/edit?usp=sharing"",""ลพบุรี!J286"")"),0)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IFERROR(__xludf.DUMMYFUNCTION("IMPORTRANGE(""https://docs.google.com/spreadsheets/d/1SX6NBoVAgQJ6U1MVXOaj8PK2l7WJ3RER9xtqwdhxkhw/edit?usp=sharing"",""ลพบุรี!J287"")"),1)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IFERROR(__xludf.DUMMYFUNCTION("IMPORTRANGE(""https://docs.google.com/spreadsheets/d/1SX6NBoVAgQJ6U1MVXOaj8PK2l7WJ3RER9xtqwdhxkhw/edit?usp=sharing"",""ลพบุรี!J288"")"),1)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IFERROR(__xludf.DUMMYFUNCTION("IMPORTRANGE(""https://docs.google.com/spreadsheets/d/1SX6NBoVAgQJ6U1MVXOaj8PK2l7WJ3RER9xtqwdhxkhw/edit?usp=sharing"",""ลพบุรี!J289"")"),1)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IFERROR(__xludf.DUMMYFUNCTION("IMPORTRANGE(""https://docs.google.com/spreadsheets/d/1SX6NBoVAgQJ6U1MVXOaj8PK2l7WJ3RER9xtqwdhxkhw/edit?usp=sharing"",""ลพบุรี!I291"")"),100)</f>
        <v>100</v>
      </c>
      <c r="J396" s="198">
        <f ca="1">IFERROR(__xludf.DUMMYFUNCTION("IMPORTRANGE(""https://docs.google.com/spreadsheets/d/1SX6NBoVAgQJ6U1MVXOaj8PK2l7WJ3RER9xtqwdhxkhw/edit?usp=sharing"",""ลพบุรี!J291"")"),100)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IFERROR(__xludf.DUMMYFUNCTION("IMPORTRANGE(""https://docs.google.com/spreadsheets/d/1SX6NBoVAgQJ6U1MVXOaj8PK2l7WJ3RER9xtqwdhxkhw/edit?usp=sharing"",""ลพบุรี!I292"")"),1000)</f>
        <v>1000</v>
      </c>
      <c r="J397" s="198">
        <f ca="1">IFERROR(__xludf.DUMMYFUNCTION("IMPORTRANGE(""https://docs.google.com/spreadsheets/d/1SX6NBoVAgQJ6U1MVXOaj8PK2l7WJ3RER9xtqwdhxkhw/edit?usp=sharing"",""ลพบุรี!J292"")"),0)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IFERROR(__xludf.DUMMYFUNCTION("IMPORTRANGE(""https://docs.google.com/spreadsheets/d/1SX6NBoVAgQJ6U1MVXOaj8PK2l7WJ3RER9xtqwdhxkhw/edit?usp=sharing"",""ลพบุรี!I293"")"),100)</f>
        <v>100</v>
      </c>
      <c r="J398" s="198">
        <f ca="1">IFERROR(__xludf.DUMMYFUNCTION("IMPORTRANGE(""https://docs.google.com/spreadsheets/d/1SX6NBoVAgQJ6U1MVXOaj8PK2l7WJ3RER9xtqwdhxkhw/edit?usp=sharing"",""ลพบุรี!J293"")"),0)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IFERROR(__xludf.DUMMYFUNCTION("IMPORTRANGE(""https://docs.google.com/spreadsheets/d/1SX6NBoVAgQJ6U1MVXOaj8PK2l7WJ3RER9xtqwdhxkhw/edit?usp=sharing"",""ลพบุรี!J294"")"),1)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IFERROR(__xludf.DUMMYFUNCTION("IMPORTRANGE(""https://docs.google.com/spreadsheets/d/1SX6NBoVAgQJ6U1MVXOaj8PK2l7WJ3RER9xtqwdhxkhw/edit?usp=sharing"",""ลพบุรี!J295"")"),0)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IFERROR(__xludf.DUMMYFUNCTION("IMPORTRANGE(""https://docs.google.com/spreadsheets/d/1SX6NBoVAgQJ6U1MVXOaj8PK2l7WJ3RER9xtqwdhxkhw/edit?usp=sharing"",""ลพบุรี!M296"")"),150260)</f>
        <v>150260</v>
      </c>
      <c r="O401" s="373">
        <f ca="1">+IF(L401&gt;0,N401*100/L401,0)</f>
        <v>86.956018518518519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IFERROR(__xludf.DUMMYFUNCTION("IMPORTRANGE(""https://docs.google.com/spreadsheets/d/1SX6NBoVAgQJ6U1MVXOaj8PK2l7WJ3RER9xtqwdhxkhw/edit?usp=sharing"",""ลพบุรี!L298"")"),0)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IFERROR(__xludf.DUMMYFUNCTION("IMPORTRANGE(""https://docs.google.com/spreadsheets/d/1SX6NBoVAgQJ6U1MVXOaj8PK2l7WJ3RER9xtqwdhxkhw/edit?usp=sharing"",""ลพบุรี!M298"")"),0)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IFERROR(__xludf.DUMMYFUNCTION("IMPORTRANGE(""https://docs.google.com/spreadsheets/d/1SX6NBoVAgQJ6U1MVXOaj8PK2l7WJ3RER9xtqwdhxkhw/edit?usp=sharing"",""ลพบุรี!L299"")"),172800)</f>
        <v>172800</v>
      </c>
      <c r="M404" s="165"/>
      <c r="N404" s="169">
        <f ca="1">IFERROR(__xludf.DUMMYFUNCTION("IMPORTRANGE(""https://docs.google.com/spreadsheets/d/1SX6NBoVAgQJ6U1MVXOaj8PK2l7WJ3RER9xtqwdhxkhw/edit?usp=sharing"",""ลพบุรี!M299"")"),150260)</f>
        <v>150260</v>
      </c>
      <c r="O404" s="169">
        <f t="shared" ca="1" si="112"/>
        <v>86.956018518518519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IFERROR(__xludf.DUMMYFUNCTION("IMPORTRANGE(""https://docs.google.com/spreadsheets/d/1SX6NBoVAgQJ6U1MVXOaj8PK2l7WJ3RER9xtqwdhxkhw/edit?usp=sharing"",""ลพบุรี!L300"")"),0)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IFERROR(__xludf.DUMMYFUNCTION("IMPORTRANGE(""https://docs.google.com/spreadsheets/d/1SX6NBoVAgQJ6U1MVXOaj8PK2l7WJ3RER9xtqwdhxkhw/edit?usp=sharing"",""ลพบุรี!M300"")"),0)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IFERROR(__xludf.DUMMYFUNCTION("IMPORTRANGE(""https://docs.google.com/spreadsheets/d/1SX6NBoVAgQJ6U1MVXOaj8PK2l7WJ3RER9xtqwdhxkhw/edit?usp=sharing"",""ลพบุรี!L301"")"),172800)</f>
        <v>172800</v>
      </c>
      <c r="M406" s="169"/>
      <c r="N406" s="169">
        <f ca="1">IFERROR(__xludf.DUMMYFUNCTION("IMPORTRANGE(""https://docs.google.com/spreadsheets/d/1SX6NBoVAgQJ6U1MVXOaj8PK2l7WJ3RER9xtqwdhxkhw/edit?usp=sharing"",""ลพบุรี!M301"")"),150260)</f>
        <v>150260</v>
      </c>
      <c r="O406" s="169">
        <f t="shared" ca="1" si="112"/>
        <v>86.956018518518519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IFERROR(__xludf.DUMMYFUNCTION("IMPORTRANGE(""https://docs.google.com/spreadsheets/d/1SX6NBoVAgQJ6U1MVXOaj8PK2l7WJ3RER9xtqwdhxkhw/edit?usp=sharing"",""ลพบุรี!M302"")"),106900)</f>
        <v>106900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IFERROR(__xludf.DUMMYFUNCTION("IMPORTRANGE(""https://docs.google.com/spreadsheets/d/1SX6NBoVAgQJ6U1MVXOaj8PK2l7WJ3RER9xtqwdhxkhw/edit?usp=sharing"",""ลพบุรี!M303"")"),36000)</f>
        <v>36000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IFERROR(__xludf.DUMMYFUNCTION("IMPORTRANGE(""https://docs.google.com/spreadsheets/d/1SX6NBoVAgQJ6U1MVXOaj8PK2l7WJ3RER9xtqwdhxkhw/edit?usp=sharing"",""ลพบุรี!M305"")"),7360)</f>
        <v>7360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IFERROR(__xludf.DUMMYFUNCTION("IMPORTRANGE(""https://docs.google.com/spreadsheets/d/1SX6NBoVAgQJ6U1MVXOaj8PK2l7WJ3RER9xtqwdhxkhw/edit?usp=sharing"",""ลพบุรี!J307"")"),0)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IFERROR(__xludf.DUMMYFUNCTION("IMPORTRANGE(""https://docs.google.com/spreadsheets/d/1SX6NBoVAgQJ6U1MVXOaj8PK2l7WJ3RER9xtqwdhxkhw/edit?usp=sharing"",""ลพบุรี!J308"")"),1)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IFERROR(__xludf.DUMMYFUNCTION("IMPORTRANGE(""https://docs.google.com/spreadsheets/d/1SX6NBoVAgQJ6U1MVXOaj8PK2l7WJ3RER9xtqwdhxkhw/edit?usp=sharing"",""ลพบุรี!J309"")"),1)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IFERROR(__xludf.DUMMYFUNCTION("IMPORTRANGE(""https://docs.google.com/spreadsheets/d/1SX6NBoVAgQJ6U1MVXOaj8PK2l7WJ3RER9xtqwdhxkhw/edit?usp=sharing"",""ลพบุรี!J310"")"),1)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IFERROR(__xludf.DUMMYFUNCTION("IMPORTRANGE(""https://docs.google.com/spreadsheets/d/1SX6NBoVAgQJ6U1MVXOaj8PK2l7WJ3RER9xtqwdhxkhw/edit?usp=sharing"",""ลพบุรี!I311"")"),50)</f>
        <v>50</v>
      </c>
      <c r="J416" s="201">
        <f ca="1">IFERROR(__xludf.DUMMYFUNCTION("IMPORTRANGE(""https://docs.google.com/spreadsheets/d/1SX6NBoVAgQJ6U1MVXOaj8PK2l7WJ3RER9xtqwdhxkhw/edit?usp=sharing"",""ลพบุรี!J311"")"),50)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IFERROR(__xludf.DUMMYFUNCTION("IMPORTRANGE(""https://docs.google.com/spreadsheets/d/1SX6NBoVAgQJ6U1MVXOaj8PK2l7WJ3RER9xtqwdhxkhw/edit?usp=sharing"",""ลพบุรี!J328"")"),1)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IFERROR(__xludf.DUMMYFUNCTION("IMPORTRANGE(""https://docs.google.com/spreadsheets/d/1SX6NBoVAgQJ6U1MVXOaj8PK2l7WJ3RER9xtqwdhxkhw/edit?usp=sharing"",""ลพบุรี!J329"")"),0)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IFERROR(__xludf.DUMMYFUNCTION("IMPORTRANGE(""https://docs.google.com/spreadsheets/d/1SX6NBoVAgQJ6U1MVXOaj8PK2l7WJ3RER9xtqwdhxkhw/edit?usp=sharing"",""ลพบุรี!M330"")"),66880)</f>
        <v>66880</v>
      </c>
      <c r="O435" s="412">
        <f t="shared" ref="O435:O439" ca="1" si="114">+IF(L435&gt;0,N435*100/L435,0)</f>
        <v>66.88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IFERROR(__xludf.DUMMYFUNCTION("IMPORTRANGE(""https://docs.google.com/spreadsheets/d/1SX6NBoVAgQJ6U1MVXOaj8PK2l7WJ3RER9xtqwdhxkhw/edit?usp=sharing"",""ลพบุรี!L331"")"),0)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IFERROR(__xludf.DUMMYFUNCTION("IMPORTRANGE(""https://docs.google.com/spreadsheets/d/1SX6NBoVAgQJ6U1MVXOaj8PK2l7WJ3RER9xtqwdhxkhw/edit?usp=sharing"",""ลพบุรี!M331"")"),0)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IFERROR(__xludf.DUMMYFUNCTION("IMPORTRANGE(""https://docs.google.com/spreadsheets/d/1SX6NBoVAgQJ6U1MVXOaj8PK2l7WJ3RER9xtqwdhxkhw/edit?usp=sharing"",""ลพบุรี!L332"")"),100000)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IFERROR(__xludf.DUMMYFUNCTION("IMPORTRANGE(""https://docs.google.com/spreadsheets/d/1SX6NBoVAgQJ6U1MVXOaj8PK2l7WJ3RER9xtqwdhxkhw/edit?usp=sharing"",""ลพบุรี!M332"")"),66880)</f>
        <v>66880</v>
      </c>
      <c r="O437" s="169">
        <f t="shared" ca="1" si="114"/>
        <v>66.88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IFERROR(__xludf.DUMMYFUNCTION("IMPORTRANGE(""https://docs.google.com/spreadsheets/d/1SX6NBoVAgQJ6U1MVXOaj8PK2l7WJ3RER9xtqwdhxkhw/edit?usp=sharing"",""ลพบุรี!L333"")"),0)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IFERROR(__xludf.DUMMYFUNCTION("IMPORTRANGE(""https://docs.google.com/spreadsheets/d/1SX6NBoVAgQJ6U1MVXOaj8PK2l7WJ3RER9xtqwdhxkhw/edit?usp=sharing"",""ลพบุรี!M333"")"),0)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IFERROR(__xludf.DUMMYFUNCTION("IMPORTRANGE(""https://docs.google.com/spreadsheets/d/1SX6NBoVAgQJ6U1MVXOaj8PK2l7WJ3RER9xtqwdhxkhw/edit?usp=sharing"",""ลพบุรี!L334"")"),100000)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IFERROR(__xludf.DUMMYFUNCTION("IMPORTRANGE(""https://docs.google.com/spreadsheets/d/1SX6NBoVAgQJ6U1MVXOaj8PK2l7WJ3RER9xtqwdhxkhw/edit?usp=sharing"",""ลพบุรี!M334"")"),66880)</f>
        <v>66880</v>
      </c>
      <c r="O439" s="169">
        <f t="shared" ca="1" si="114"/>
        <v>66.88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IFERROR(__xludf.DUMMYFUNCTION("IMPORTRANGE(""https://docs.google.com/spreadsheets/d/1SX6NBoVAgQJ6U1MVXOaj8PK2l7WJ3RER9xtqwdhxkhw/edit?usp=sharing"",""ลพบุรี!M338"")"),22680)</f>
        <v>22680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IFERROR(__xludf.DUMMYFUNCTION("IMPORTRANGE(""https://docs.google.com/spreadsheets/d/1SX6NBoVAgQJ6U1MVXOaj8PK2l7WJ3RER9xtqwdhxkhw/edit?usp=sharing"",""ลพบุรี!J340"")"),0)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IFERROR(__xludf.DUMMYFUNCTION("IMPORTRANGE(""https://docs.google.com/spreadsheets/d/1SX6NBoVAgQJ6U1MVXOaj8PK2l7WJ3RER9xtqwdhxkhw/edit?usp=sharing"",""ลพบุรี!J341"")"),0)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IFERROR(__xludf.DUMMYFUNCTION("IMPORTRANGE(""https://docs.google.com/spreadsheets/d/1SX6NBoVAgQJ6U1MVXOaj8PK2l7WJ3RER9xtqwdhxkhw/edit?usp=sharing"",""ลพบุรี!J342"")"),0)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IFERROR(__xludf.DUMMYFUNCTION("IMPORTRANGE(""https://docs.google.com/spreadsheets/d/1SX6NBoVAgQJ6U1MVXOaj8PK2l7WJ3RER9xtqwdhxkhw/edit?usp=sharing"",""ลพบุรี!J343"")"),0)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1">
        <f ca="1">IFERROR(__xludf.DUMMYFUNCTION("IMPORTRANGE(""https://docs.google.com/spreadsheets/d/1SX6NBoVAgQJ6U1MVXOaj8PK2l7WJ3RER9xtqwdhxkhw/edit?usp=sharing"",""ลพบุรี!J344"")"),20)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IFERROR(__xludf.DUMMYFUNCTION("IMPORTRANGE(""https://docs.google.com/spreadsheets/d/1SX6NBoVAgQJ6U1MVXOaj8PK2l7WJ3RER9xtqwdhxkhw/edit?usp=sharing"",""ลพบุรี!I345"")"),20)</f>
        <v>20</v>
      </c>
      <c r="J450" s="189">
        <f ca="1">IFERROR(__xludf.DUMMYFUNCTION("IMPORTRANGE(""https://docs.google.com/spreadsheets/d/1SX6NBoVAgQJ6U1MVXOaj8PK2l7WJ3RER9xtqwdhxkhw/edit?usp=sharing"",""ลพบุรี!J345"")"),20)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IFERROR(__xludf.DUMMYFUNCTION("IMPORTRANGE(""https://docs.google.com/spreadsheets/d/1SX6NBoVAgQJ6U1MVXOaj8PK2l7WJ3RER9xtqwdhxkhw/edit?usp=sharing"",""ลพบุรี!I346"")"),0)</f>
        <v>0</v>
      </c>
      <c r="J451" s="188">
        <f ca="1">IFERROR(__xludf.DUMMYFUNCTION("IMPORTRANGE(""https://docs.google.com/spreadsheets/d/1SX6NBoVAgQJ6U1MVXOaj8PK2l7WJ3RER9xtqwdhxkhw/edit?usp=sharing"",""ลพบุรี!J346"")"),0)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IFERROR(__xludf.DUMMYFUNCTION("IMPORTRANGE(""https://docs.google.com/spreadsheets/d/1SX6NBoVAgQJ6U1MVXOaj8PK2l7WJ3RER9xtqwdhxkhw/edit?usp=sharing"",""ลพบุรี!I347"")"),0)</f>
        <v>0</v>
      </c>
      <c r="J452" s="188">
        <f ca="1">IFERROR(__xludf.DUMMYFUNCTION("IMPORTRANGE(""https://docs.google.com/spreadsheets/d/1SX6NBoVAgQJ6U1MVXOaj8PK2l7WJ3RER9xtqwdhxkhw/edit?usp=sharing"",""ลพบุรี!J347"")"),0)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IFERROR(__xludf.DUMMYFUNCTION("IMPORTRANGE(""https://docs.google.com/spreadsheets/d/1SX6NBoVAgQJ6U1MVXOaj8PK2l7WJ3RER9xtqwdhxkhw/edit?usp=sharing"",""ลพบุรี!J348"")"),1)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IFERROR(__xludf.DUMMYFUNCTION("IMPORTRANGE(""https://docs.google.com/spreadsheets/d/1SX6NBoVAgQJ6U1MVXOaj8PK2l7WJ3RER9xtqwdhxkhw/edit?usp=sharing"",""ลพบุรี!J349"")"),0)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IFERROR(__xludf.DUMMYFUNCTION("IMPORTRANGE(""https://docs.google.com/spreadsheets/d/1SX6NBoVAgQJ6U1MVXOaj8PK2l7WJ3RER9xtqwdhxkhw/edit?usp=sharing"",""ลพบุรี!L350"")"),794301)</f>
        <v>794301</v>
      </c>
      <c r="M455" s="373"/>
      <c r="N455" s="373">
        <f ca="1">IFERROR(__xludf.DUMMYFUNCTION("IMPORTRANGE(""https://docs.google.com/spreadsheets/d/1SX6NBoVAgQJ6U1MVXOaj8PK2l7WJ3RER9xtqwdhxkhw/edit?usp=sharing"",""ลพบุรี!M350"")"),139479.15)</f>
        <v>139479.15</v>
      </c>
      <c r="O455" s="373">
        <f t="shared" ref="O455:O459" ca="1" si="116">+IF(L455&gt;0,N455*100/L455,0)</f>
        <v>17.559986705291823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IFERROR(__xludf.DUMMYFUNCTION("IMPORTRANGE(""https://docs.google.com/spreadsheets/d/1SX6NBoVAgQJ6U1MVXOaj8PK2l7WJ3RER9xtqwdhxkhw/edit?usp=sharing"",""ลพบุรี!L351"")"),0)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IFERROR(__xludf.DUMMYFUNCTION("IMPORTRANGE(""https://docs.google.com/spreadsheets/d/1SX6NBoVAgQJ6U1MVXOaj8PK2l7WJ3RER9xtqwdhxkhw/edit?usp=sharing"",""ลพบุรี!M351"")"),0)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IFERROR(__xludf.DUMMYFUNCTION("IMPORTRANGE(""https://docs.google.com/spreadsheets/d/1SX6NBoVAgQJ6U1MVXOaj8PK2l7WJ3RER9xtqwdhxkhw/edit?usp=sharing"",""ลพบุรี!L352"")"),794301)</f>
        <v>794301</v>
      </c>
      <c r="M457" s="165"/>
      <c r="N457" s="169">
        <f ca="1">IFERROR(__xludf.DUMMYFUNCTION("IMPORTRANGE(""https://docs.google.com/spreadsheets/d/1SX6NBoVAgQJ6U1MVXOaj8PK2l7WJ3RER9xtqwdhxkhw/edit?usp=sharing"",""ลพบุรี!M352"")"),139479.15)</f>
        <v>139479.15</v>
      </c>
      <c r="O457" s="169">
        <f t="shared" ca="1" si="116"/>
        <v>17.559986705291823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IFERROR(__xludf.DUMMYFUNCTION("IMPORTRANGE(""https://docs.google.com/spreadsheets/d/1SX6NBoVAgQJ6U1MVXOaj8PK2l7WJ3RER9xtqwdhxkhw/edit?usp=sharing"",""ลพบุรี!L353"")"),0)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IFERROR(__xludf.DUMMYFUNCTION("IMPORTRANGE(""https://docs.google.com/spreadsheets/d/1SX6NBoVAgQJ6U1MVXOaj8PK2l7WJ3RER9xtqwdhxkhw/edit?usp=sharing"",""ลพบุรี!M353"")"),0)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IFERROR(__xludf.DUMMYFUNCTION("IMPORTRANGE(""https://docs.google.com/spreadsheets/d/1SX6NBoVAgQJ6U1MVXOaj8PK2l7WJ3RER9xtqwdhxkhw/edit?usp=sharing"",""ลพบุรี!L354"")"),794301)</f>
        <v>794301</v>
      </c>
      <c r="M459" s="169"/>
      <c r="N459" s="169">
        <f ca="1">IFERROR(__xludf.DUMMYFUNCTION("IMPORTRANGE(""https://docs.google.com/spreadsheets/d/1SX6NBoVAgQJ6U1MVXOaj8PK2l7WJ3RER9xtqwdhxkhw/edit?usp=sharing"",""ลพบุรี!M354"")"),139479.15)</f>
        <v>139479.15</v>
      </c>
      <c r="O459" s="169">
        <f t="shared" ca="1" si="116"/>
        <v>17.559986705291823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IFERROR(__xludf.DUMMYFUNCTION("IMPORTRANGE(""https://docs.google.com/spreadsheets/d/1SX6NBoVAgQJ6U1MVXOaj8PK2l7WJ3RER9xtqwdhxkhw/edit?usp=sharing"",""ลพบุรี!M355"")"),0)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IFERROR(__xludf.DUMMYFUNCTION("IMPORTRANGE(""https://docs.google.com/spreadsheets/d/1SX6NBoVAgQJ6U1MVXOaj8PK2l7WJ3RER9xtqwdhxkhw/edit?usp=sharing"",""ลพบุรี!M356"")"),0)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IFERROR(__xludf.DUMMYFUNCTION("IMPORTRANGE(""https://docs.google.com/spreadsheets/d/1SX6NBoVAgQJ6U1MVXOaj8PK2l7WJ3RER9xtqwdhxkhw/edit?usp=sharing"",""ลพบุรี!M357"")"),77000)</f>
        <v>77000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IFERROR(__xludf.DUMMYFUNCTION("IMPORTRANGE(""https://docs.google.com/spreadsheets/d/1SX6NBoVAgQJ6U1MVXOaj8PK2l7WJ3RER9xtqwdhxkhw/edit?usp=sharing"",""ลพบุรี!I359"")"),109020)</f>
        <v>109020</v>
      </c>
      <c r="J464" s="268">
        <f ca="1">IFERROR(__xludf.DUMMYFUNCTION("IMPORTRANGE(""https://docs.google.com/spreadsheets/d/1SX6NBoVAgQJ6U1MVXOaj8PK2l7WJ3RER9xtqwdhxkhw/edit?usp=sharing"",""ลพบุรี!J359"")"),0)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IFERROR(__xludf.DUMMYFUNCTION("IMPORTRANGE(""https://docs.google.com/spreadsheets/d/1SX6NBoVAgQJ6U1MVXOaj8PK2l7WJ3RER9xtqwdhxkhw/edit?usp=sharing"",""ลพบุรี!J360"")"),109022)</f>
        <v>109022</v>
      </c>
      <c r="K465" s="202">
        <f t="shared" ca="1" si="117"/>
        <v>100.00183452577508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IFERROR(__xludf.DUMMYFUNCTION("IMPORTRANGE(""https://docs.google.com/spreadsheets/d/1SX6NBoVAgQJ6U1MVXOaj8PK2l7WJ3RER9xtqwdhxkhw/edit?usp=sharing"",""ลพบุรี!J361"")"),6394)</f>
        <v>6394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IFERROR(__xludf.DUMMYFUNCTION("IMPORTRANGE(""https://docs.google.com/spreadsheets/d/1SX6NBoVAgQJ6U1MVXOaj8PK2l7WJ3RER9xtqwdhxkhw/edit?usp=sharing"",""ลพบุรี!I362"")"),0)</f>
        <v>0</v>
      </c>
      <c r="J467" s="189">
        <f ca="1">IFERROR(__xludf.DUMMYFUNCTION("IMPORTRANGE(""https://docs.google.com/spreadsheets/d/1SX6NBoVAgQJ6U1MVXOaj8PK2l7WJ3RER9xtqwdhxkhw/edit?usp=sharing"",""ลพบุรี!J362"")"),76932)</f>
        <v>76932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IFERROR(__xludf.DUMMYFUNCTION("IMPORTRANGE(""https://docs.google.com/spreadsheets/d/1SX6NBoVAgQJ6U1MVXOaj8PK2l7WJ3RER9xtqwdhxkhw/edit?usp=sharing"",""ลพบุรี!I363"")"),0)</f>
        <v>0</v>
      </c>
      <c r="J468" s="189">
        <f ca="1">IFERROR(__xludf.DUMMYFUNCTION("IMPORTRANGE(""https://docs.google.com/spreadsheets/d/1SX6NBoVAgQJ6U1MVXOaj8PK2l7WJ3RER9xtqwdhxkhw/edit?usp=sharing"",""ลพบุรี!J363"")"),4807)</f>
        <v>4807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IFERROR(__xludf.DUMMYFUNCTION("IMPORTRANGE(""https://docs.google.com/spreadsheets/d/1SX6NBoVAgQJ6U1MVXOaj8PK2l7WJ3RER9xtqwdhxkhw/edit?usp=sharing"",""ลพบุรี!I364"")"),0)</f>
        <v>0</v>
      </c>
      <c r="J469" s="189">
        <f ca="1">IFERROR(__xludf.DUMMYFUNCTION("IMPORTRANGE(""https://docs.google.com/spreadsheets/d/1SX6NBoVAgQJ6U1MVXOaj8PK2l7WJ3RER9xtqwdhxkhw/edit?usp=sharing"",""ลพบุรี!J364"")"),28032)</f>
        <v>28032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IFERROR(__xludf.DUMMYFUNCTION("IMPORTRANGE(""https://docs.google.com/spreadsheets/d/1SX6NBoVAgQJ6U1MVXOaj8PK2l7WJ3RER9xtqwdhxkhw/edit?usp=sharing"",""ลพบุรี!I365"")"),0)</f>
        <v>0</v>
      </c>
      <c r="J470" s="189">
        <f ca="1">IFERROR(__xludf.DUMMYFUNCTION("IMPORTRANGE(""https://docs.google.com/spreadsheets/d/1SX6NBoVAgQJ6U1MVXOaj8PK2l7WJ3RER9xtqwdhxkhw/edit?usp=sharing"",""ลพบุรี!J365"")"),1369)</f>
        <v>1369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IFERROR(__xludf.DUMMYFUNCTION("IMPORTRANGE(""https://docs.google.com/spreadsheets/d/1SX6NBoVAgQJ6U1MVXOaj8PK2l7WJ3RER9xtqwdhxkhw/edit?usp=sharing"",""ลพบุรี!I366"")"),0)</f>
        <v>0</v>
      </c>
      <c r="J471" s="189">
        <f ca="1">IFERROR(__xludf.DUMMYFUNCTION("IMPORTRANGE(""https://docs.google.com/spreadsheets/d/1SX6NBoVAgQJ6U1MVXOaj8PK2l7WJ3RER9xtqwdhxkhw/edit?usp=sharing"",""ลพบุรี!J366"")"),4058)</f>
        <v>4058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IFERROR(__xludf.DUMMYFUNCTION("IMPORTRANGE(""https://docs.google.com/spreadsheets/d/1SX6NBoVAgQJ6U1MVXOaj8PK2l7WJ3RER9xtqwdhxkhw/edit?usp=sharing"",""ลพบุรี!I367"")"),0)</f>
        <v>0</v>
      </c>
      <c r="J472" s="189">
        <f ca="1">IFERROR(__xludf.DUMMYFUNCTION("IMPORTRANGE(""https://docs.google.com/spreadsheets/d/1SX6NBoVAgQJ6U1MVXOaj8PK2l7WJ3RER9xtqwdhxkhw/edit?usp=sharing"",""ลพบุรี!J367"")"),218)</f>
        <v>218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IFERROR(__xludf.DUMMYFUNCTION("IMPORTRANGE(""https://docs.google.com/spreadsheets/d/1SX6NBoVAgQJ6U1MVXOaj8PK2l7WJ3RER9xtqwdhxkhw/edit?usp=sharing"",""ลพบุรี!J368"")"),109022)</f>
        <v>109022</v>
      </c>
      <c r="K473" s="202">
        <f t="shared" ca="1" si="117"/>
        <v>100.00183452577508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IFERROR(__xludf.DUMMYFUNCTION("IMPORTRANGE(""https://docs.google.com/spreadsheets/d/1SX6NBoVAgQJ6U1MVXOaj8PK2l7WJ3RER9xtqwdhxkhw/edit?usp=sharing"",""ลพบุรี!J369"")"),6394)</f>
        <v>6394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IFERROR(__xludf.DUMMYFUNCTION("IMPORTRANGE(""https://docs.google.com/spreadsheets/d/1SX6NBoVAgQJ6U1MVXOaj8PK2l7WJ3RER9xtqwdhxkhw/edit?usp=sharing"",""ลพบุรี!I370"")"),0)</f>
        <v>0</v>
      </c>
      <c r="J475" s="189">
        <f ca="1">IFERROR(__xludf.DUMMYFUNCTION("IMPORTRANGE(""https://docs.google.com/spreadsheets/d/1SX6NBoVAgQJ6U1MVXOaj8PK2l7WJ3RER9xtqwdhxkhw/edit?usp=sharing"",""ลพบุรี!J370"")"),76894)</f>
        <v>76894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IFERROR(__xludf.DUMMYFUNCTION("IMPORTRANGE(""https://docs.google.com/spreadsheets/d/1SX6NBoVAgQJ6U1MVXOaj8PK2l7WJ3RER9xtqwdhxkhw/edit?usp=sharing"",""ลพบุรี!I371"")"),0)</f>
        <v>0</v>
      </c>
      <c r="J476" s="189">
        <v>4812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IFERROR(__xludf.DUMMYFUNCTION("IMPORTRANGE(""https://docs.google.com/spreadsheets/d/1SX6NBoVAgQJ6U1MVXOaj8PK2l7WJ3RER9xtqwdhxkhw/edit?usp=sharing"",""ลพบุรี!I372"")"),0)</f>
        <v>0</v>
      </c>
      <c r="J477" s="189">
        <f ca="1">IFERROR(__xludf.DUMMYFUNCTION("IMPORTRANGE(""https://docs.google.com/spreadsheets/d/1SX6NBoVAgQJ6U1MVXOaj8PK2l7WJ3RER9xtqwdhxkhw/edit?usp=sharing"",""ลพบุรี!J372"")"),28081)</f>
        <v>28081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IFERROR(__xludf.DUMMYFUNCTION("IMPORTRANGE(""https://docs.google.com/spreadsheets/d/1SX6NBoVAgQJ6U1MVXOaj8PK2l7WJ3RER9xtqwdhxkhw/edit?usp=sharing"",""ลพบุรี!I373"")"),0)</f>
        <v>0</v>
      </c>
      <c r="J478" s="189">
        <f ca="1">IFERROR(__xludf.DUMMYFUNCTION("IMPORTRANGE(""https://docs.google.com/spreadsheets/d/1SX6NBoVAgQJ6U1MVXOaj8PK2l7WJ3RER9xtqwdhxkhw/edit?usp=sharing"",""ลพบุรี!J373"")"),1374)</f>
        <v>1374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IFERROR(__xludf.DUMMYFUNCTION("IMPORTRANGE(""https://docs.google.com/spreadsheets/d/1SX6NBoVAgQJ6U1MVXOaj8PK2l7WJ3RER9xtqwdhxkhw/edit?usp=sharing"",""ลพบุรี!I374"")"),0)</f>
        <v>0</v>
      </c>
      <c r="J479" s="189">
        <f ca="1">IFERROR(__xludf.DUMMYFUNCTION("IMPORTRANGE(""https://docs.google.com/spreadsheets/d/1SX6NBoVAgQJ6U1MVXOaj8PK2l7WJ3RER9xtqwdhxkhw/edit?usp=sharing"",""ลพบุรี!J374"")"),4047)</f>
        <v>4047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IFERROR(__xludf.DUMMYFUNCTION("IMPORTRANGE(""https://docs.google.com/spreadsheets/d/1SX6NBoVAgQJ6U1MVXOaj8PK2l7WJ3RER9xtqwdhxkhw/edit?usp=sharing"",""ลพบุรี!I375"")"),0)</f>
        <v>0</v>
      </c>
      <c r="J480" s="189">
        <f ca="1">IFERROR(__xludf.DUMMYFUNCTION("IMPORTRANGE(""https://docs.google.com/spreadsheets/d/1SX6NBoVAgQJ6U1MVXOaj8PK2l7WJ3RER9xtqwdhxkhw/edit?usp=sharing"",""ลพบุรี!J375"")"),218)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IFERROR(__xludf.DUMMYFUNCTION("IMPORTRANGE(""https://docs.google.com/spreadsheets/d/1SX6NBoVAgQJ6U1MVXOaj8PK2l7WJ3RER9xtqwdhxkhw/edit?usp=sharing"",""ลพบุรี!I378"")"),0)</f>
        <v>0</v>
      </c>
      <c r="J483" s="189">
        <f ca="1">IFERROR(__xludf.DUMMYFUNCTION("IMPORTRANGE(""https://docs.google.com/spreadsheets/d/1SX6NBoVAgQJ6U1MVXOaj8PK2l7WJ3RER9xtqwdhxkhw/edit?usp=sharing"",""ลพบุรี!J378"")"),0)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IFERROR(__xludf.DUMMYFUNCTION("IMPORTRANGE(""https://docs.google.com/spreadsheets/d/1SX6NBoVAgQJ6U1MVXOaj8PK2l7WJ3RER9xtqwdhxkhw/edit?usp=sharing"",""ลพบุรี!I379"")"),0)</f>
        <v>0</v>
      </c>
      <c r="J484" s="189">
        <f ca="1">IFERROR(__xludf.DUMMYFUNCTION("IMPORTRANGE(""https://docs.google.com/spreadsheets/d/1SX6NBoVAgQJ6U1MVXOaj8PK2l7WJ3RER9xtqwdhxkhw/edit?usp=sharing"",""ลพบุรี!J379"")"),0)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IFERROR(__xludf.DUMMYFUNCTION("IMPORTRANGE(""https://docs.google.com/spreadsheets/d/1SX6NBoVAgQJ6U1MVXOaj8PK2l7WJ3RER9xtqwdhxkhw/edit?usp=sharing"",""ลพบุรี!I380"")"),0)</f>
        <v>0</v>
      </c>
      <c r="J485" s="189">
        <f ca="1">IFERROR(__xludf.DUMMYFUNCTION("IMPORTRANGE(""https://docs.google.com/spreadsheets/d/1SX6NBoVAgQJ6U1MVXOaj8PK2l7WJ3RER9xtqwdhxkhw/edit?usp=sharing"",""ลพบุรี!J380"")"),0)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IFERROR(__xludf.DUMMYFUNCTION("IMPORTRANGE(""https://docs.google.com/spreadsheets/d/1SX6NBoVAgQJ6U1MVXOaj8PK2l7WJ3RER9xtqwdhxkhw/edit?usp=sharing"",""ลพบุรี!I381"")"),0)</f>
        <v>0</v>
      </c>
      <c r="J486" s="189">
        <f ca="1">IFERROR(__xludf.DUMMYFUNCTION("IMPORTRANGE(""https://docs.google.com/spreadsheets/d/1SX6NBoVAgQJ6U1MVXOaj8PK2l7WJ3RER9xtqwdhxkhw/edit?usp=sharing"",""ลพบุรี!J381"")"),0)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IFERROR(__xludf.DUMMYFUNCTION("IMPORTRANGE(""https://docs.google.com/spreadsheets/d/1SX6NBoVAgQJ6U1MVXOaj8PK2l7WJ3RER9xtqwdhxkhw/edit?usp=sharing"",""ลพบุรี!I384"")"),0)</f>
        <v>0</v>
      </c>
      <c r="J489" s="189">
        <f ca="1">IFERROR(__xludf.DUMMYFUNCTION("IMPORTRANGE(""https://docs.google.com/spreadsheets/d/1SX6NBoVAgQJ6U1MVXOaj8PK2l7WJ3RER9xtqwdhxkhw/edit?usp=sharing"",""ลพบุรี!J384"")"),0)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IFERROR(__xludf.DUMMYFUNCTION("IMPORTRANGE(""https://docs.google.com/spreadsheets/d/1SX6NBoVAgQJ6U1MVXOaj8PK2l7WJ3RER9xtqwdhxkhw/edit?usp=sharing"",""ลพบุรี!I385"")"),0)</f>
        <v>0</v>
      </c>
      <c r="J490" s="189">
        <f ca="1">IFERROR(__xludf.DUMMYFUNCTION("IMPORTRANGE(""https://docs.google.com/spreadsheets/d/1SX6NBoVAgQJ6U1MVXOaj8PK2l7WJ3RER9xtqwdhxkhw/edit?usp=sharing"",""ลพบุรี!J385"")"),0)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IFERROR(__xludf.DUMMYFUNCTION("IMPORTRANGE(""https://docs.google.com/spreadsheets/d/1SX6NBoVAgQJ6U1MVXOaj8PK2l7WJ3RER9xtqwdhxkhw/edit?usp=sharing"",""ลพบุรี!I386"")"),0)</f>
        <v>0</v>
      </c>
      <c r="J491" s="189">
        <f ca="1">IFERROR(__xludf.DUMMYFUNCTION("IMPORTRANGE(""https://docs.google.com/spreadsheets/d/1SX6NBoVAgQJ6U1MVXOaj8PK2l7WJ3RER9xtqwdhxkhw/edit?usp=sharing"",""ลพบุรี!J386"")"),0)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IFERROR(__xludf.DUMMYFUNCTION("IMPORTRANGE(""https://docs.google.com/spreadsheets/d/1SX6NBoVAgQJ6U1MVXOaj8PK2l7WJ3RER9xtqwdhxkhw/edit?usp=sharing"",""ลพบุรี!I387"")"),0)</f>
        <v>0</v>
      </c>
      <c r="J492" s="189">
        <f ca="1">IFERROR(__xludf.DUMMYFUNCTION("IMPORTRANGE(""https://docs.google.com/spreadsheets/d/1SX6NBoVAgQJ6U1MVXOaj8PK2l7WJ3RER9xtqwdhxkhw/edit?usp=sharing"",""ลพบุรี!J387"")"),0)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IFERROR(__xludf.DUMMYFUNCTION("IMPORTRANGE(""https://docs.google.com/spreadsheets/d/1SX6NBoVAgQJ6U1MVXOaj8PK2l7WJ3RER9xtqwdhxkhw/edit?usp=sharing"",""ลพบุรี!I388"")"),0)</f>
        <v>0</v>
      </c>
      <c r="J493" s="189">
        <f ca="1">IFERROR(__xludf.DUMMYFUNCTION("IMPORTRANGE(""https://docs.google.com/spreadsheets/d/1SX6NBoVAgQJ6U1MVXOaj8PK2l7WJ3RER9xtqwdhxkhw/edit?usp=sharing"",""ลพบุรี!J388"")"),0)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IFERROR(__xludf.DUMMYFUNCTION("IMPORTRANGE(""https://docs.google.com/spreadsheets/d/1SX6NBoVAgQJ6U1MVXOaj8PK2l7WJ3RER9xtqwdhxkhw/edit?usp=sharing"",""ลพบุรี!I395"")"),0)</f>
        <v>0</v>
      </c>
      <c r="J500" s="162">
        <f ca="1">IFERROR(__xludf.DUMMYFUNCTION("IMPORTRANGE(""https://docs.google.com/spreadsheets/d/1SX6NBoVAgQJ6U1MVXOaj8PK2l7WJ3RER9xtqwdhxkhw/edit?usp=sharing"",""ลพบุรี!J395"")"),0)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IFERROR(__xludf.DUMMYFUNCTION("IMPORTRANGE(""https://docs.google.com/spreadsheets/d/1SX6NBoVAgQJ6U1MVXOaj8PK2l7WJ3RER9xtqwdhxkhw/edit?usp=sharing"",""ลพบุรี!I396"")"),0)</f>
        <v>0</v>
      </c>
      <c r="J501" s="162">
        <f ca="1">IFERROR(__xludf.DUMMYFUNCTION("IMPORTRANGE(""https://docs.google.com/spreadsheets/d/1SX6NBoVAgQJ6U1MVXOaj8PK2l7WJ3RER9xtqwdhxkhw/edit?usp=sharing"",""ลพบุรี!J396"")"),0)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IFERROR(__xludf.DUMMYFUNCTION("IMPORTRANGE(""https://docs.google.com/spreadsheets/d/1SX6NBoVAgQJ6U1MVXOaj8PK2l7WJ3RER9xtqwdhxkhw/edit?usp=sharing"",""ลพบุรี!I397"")"),0)</f>
        <v>0</v>
      </c>
      <c r="J502" s="189">
        <f ca="1">IFERROR(__xludf.DUMMYFUNCTION("IMPORTRANGE(""https://docs.google.com/spreadsheets/d/1SX6NBoVAgQJ6U1MVXOaj8PK2l7WJ3RER9xtqwdhxkhw/edit?usp=sharing"",""ลพบุรี!J397"")"),0)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IFERROR(__xludf.DUMMYFUNCTION("IMPORTRANGE(""https://docs.google.com/spreadsheets/d/1SX6NBoVAgQJ6U1MVXOaj8PK2l7WJ3RER9xtqwdhxkhw/edit?usp=sharing"",""ลพบุรี!I398"")"),0)</f>
        <v>0</v>
      </c>
      <c r="J503" s="198">
        <f ca="1">IFERROR(__xludf.DUMMYFUNCTION("IMPORTRANGE(""https://docs.google.com/spreadsheets/d/1SX6NBoVAgQJ6U1MVXOaj8PK2l7WJ3RER9xtqwdhxkhw/edit?usp=sharing"",""ลพบุรี!J398"")"),0)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IFERROR(__xludf.DUMMYFUNCTION("IMPORTRANGE(""https://docs.google.com/spreadsheets/d/1SX6NBoVAgQJ6U1MVXOaj8PK2l7WJ3RER9xtqwdhxkhw/edit?usp=sharing"",""ลพบุรี!I399"")"),0)</f>
        <v>0</v>
      </c>
      <c r="J504" s="189">
        <f ca="1">IFERROR(__xludf.DUMMYFUNCTION("IMPORTRANGE(""https://docs.google.com/spreadsheets/d/1SX6NBoVAgQJ6U1MVXOaj8PK2l7WJ3RER9xtqwdhxkhw/edit?usp=sharing"",""ลพบุรี!J399"")"),0)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IFERROR(__xludf.DUMMYFUNCTION("IMPORTRANGE(""https://docs.google.com/spreadsheets/d/1SX6NBoVAgQJ6U1MVXOaj8PK2l7WJ3RER9xtqwdhxkhw/edit?usp=sharing"",""ลพบุรี!I400"")"),0)</f>
        <v>0</v>
      </c>
      <c r="J505" s="198">
        <f ca="1">IFERROR(__xludf.DUMMYFUNCTION("IMPORTRANGE(""https://docs.google.com/spreadsheets/d/1SX6NBoVAgQJ6U1MVXOaj8PK2l7WJ3RER9xtqwdhxkhw/edit?usp=sharing"",""ลพบุรี!J400"")"),0)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IFERROR(__xludf.DUMMYFUNCTION("IMPORTRANGE(""https://docs.google.com/spreadsheets/d/1SX6NBoVAgQJ6U1MVXOaj8PK2l7WJ3RER9xtqwdhxkhw/edit?usp=sharing"",""ลพบุรี!I401"")"),0)</f>
        <v>0</v>
      </c>
      <c r="J506" s="189">
        <f ca="1">IFERROR(__xludf.DUMMYFUNCTION("IMPORTRANGE(""https://docs.google.com/spreadsheets/d/1SX6NBoVAgQJ6U1MVXOaj8PK2l7WJ3RER9xtqwdhxkhw/edit?usp=sharing"",""ลพบุรี!J401"")"),0)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IFERROR(__xludf.DUMMYFUNCTION("IMPORTRANGE(""https://docs.google.com/spreadsheets/d/1SX6NBoVAgQJ6U1MVXOaj8PK2l7WJ3RER9xtqwdhxkhw/edit?usp=sharing"",""ลพบุรี!I402"")"),0)</f>
        <v>0</v>
      </c>
      <c r="J507" s="198">
        <f ca="1">IFERROR(__xludf.DUMMYFUNCTION("IMPORTRANGE(""https://docs.google.com/spreadsheets/d/1SX6NBoVAgQJ6U1MVXOaj8PK2l7WJ3RER9xtqwdhxkhw/edit?usp=sharing"",""ลพบุรี!J402"")"),0)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IFERROR(__xludf.DUMMYFUNCTION("IMPORTRANGE(""https://docs.google.com/spreadsheets/d/1SX6NBoVAgQJ6U1MVXOaj8PK2l7WJ3RER9xtqwdhxkhw/edit?usp=sharing"",""ลพบุรี!I403"")"),0)</f>
        <v>0</v>
      </c>
      <c r="J508" s="162">
        <f ca="1">IFERROR(__xludf.DUMMYFUNCTION("IMPORTRANGE(""https://docs.google.com/spreadsheets/d/1SX6NBoVAgQJ6U1MVXOaj8PK2l7WJ3RER9xtqwdhxkhw/edit?usp=sharing"",""ลพบุรี!J403"")"),0)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IFERROR(__xludf.DUMMYFUNCTION("IMPORTRANGE(""https://docs.google.com/spreadsheets/d/1SX6NBoVAgQJ6U1MVXOaj8PK2l7WJ3RER9xtqwdhxkhw/edit?usp=sharing"",""ลพบุรี!I404"")"),0)</f>
        <v>0</v>
      </c>
      <c r="J509" s="162">
        <f ca="1">IFERROR(__xludf.DUMMYFUNCTION("IMPORTRANGE(""https://docs.google.com/spreadsheets/d/1SX6NBoVAgQJ6U1MVXOaj8PK2l7WJ3RER9xtqwdhxkhw/edit?usp=sharing"",""ลพบุรี!J404"")"),0)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IFERROR(__xludf.DUMMYFUNCTION("IMPORTRANGE(""https://docs.google.com/spreadsheets/d/1SX6NBoVAgQJ6U1MVXOaj8PK2l7WJ3RER9xtqwdhxkhw/edit?usp=sharing"",""ลพบุรี!I405"")"),0)</f>
        <v>0</v>
      </c>
      <c r="J510" s="198">
        <f ca="1">IFERROR(__xludf.DUMMYFUNCTION("IMPORTRANGE(""https://docs.google.com/spreadsheets/d/1SX6NBoVAgQJ6U1MVXOaj8PK2l7WJ3RER9xtqwdhxkhw/edit?usp=sharing"",""ลพบุรี!J405"")"),0)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IFERROR(__xludf.DUMMYFUNCTION("IMPORTRANGE(""https://docs.google.com/spreadsheets/d/1SX6NBoVAgQJ6U1MVXOaj8PK2l7WJ3RER9xtqwdhxkhw/edit?usp=sharing"",""ลพบุรี!I406"")"),0)</f>
        <v>0</v>
      </c>
      <c r="J511" s="198">
        <f ca="1">IFERROR(__xludf.DUMMYFUNCTION("IMPORTRANGE(""https://docs.google.com/spreadsheets/d/1SX6NBoVAgQJ6U1MVXOaj8PK2l7WJ3RER9xtqwdhxkhw/edit?usp=sharing"",""ลพบุรี!J406"")"),0)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IFERROR(__xludf.DUMMYFUNCTION("IMPORTRANGE(""https://docs.google.com/spreadsheets/d/1SX6NBoVAgQJ6U1MVXOaj8PK2l7WJ3RER9xtqwdhxkhw/edit?usp=sharing"",""ลพบุรี!I407"")"),0)</f>
        <v>0</v>
      </c>
      <c r="J512" s="198">
        <f ca="1">IFERROR(__xludf.DUMMYFUNCTION("IMPORTRANGE(""https://docs.google.com/spreadsheets/d/1SX6NBoVAgQJ6U1MVXOaj8PK2l7WJ3RER9xtqwdhxkhw/edit?usp=sharing"",""ลพบุรี!J407"")"),0)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IFERROR(__xludf.DUMMYFUNCTION("IMPORTRANGE(""https://docs.google.com/spreadsheets/d/1SX6NBoVAgQJ6U1MVXOaj8PK2l7WJ3RER9xtqwdhxkhw/edit?usp=sharing"",""ลพบุรี!I408"")"),0)</f>
        <v>0</v>
      </c>
      <c r="J513" s="198">
        <f ca="1">IFERROR(__xludf.DUMMYFUNCTION("IMPORTRANGE(""https://docs.google.com/spreadsheets/d/1SX6NBoVAgQJ6U1MVXOaj8PK2l7WJ3RER9xtqwdhxkhw/edit?usp=sharing"",""ลพบุรี!J408"")"),0)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IFERROR(__xludf.DUMMYFUNCTION("IMPORTRANGE(""https://docs.google.com/spreadsheets/d/1SX6NBoVAgQJ6U1MVXOaj8PK2l7WJ3RER9xtqwdhxkhw/edit?usp=sharing"",""ลพบุรี!I409"")"),0)</f>
        <v>0</v>
      </c>
      <c r="J514" s="198">
        <f ca="1">IFERROR(__xludf.DUMMYFUNCTION("IMPORTRANGE(""https://docs.google.com/spreadsheets/d/1SX6NBoVAgQJ6U1MVXOaj8PK2l7WJ3RER9xtqwdhxkhw/edit?usp=sharing"",""ลพบุรี!J409"")"),0)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IFERROR(__xludf.DUMMYFUNCTION("IMPORTRANGE(""https://docs.google.com/spreadsheets/d/1SX6NBoVAgQJ6U1MVXOaj8PK2l7WJ3RER9xtqwdhxkhw/edit?usp=sharing"",""ลพบุรี!I410"")"),0)</f>
        <v>0</v>
      </c>
      <c r="J515" s="198">
        <f ca="1">IFERROR(__xludf.DUMMYFUNCTION("IMPORTRANGE(""https://docs.google.com/spreadsheets/d/1SX6NBoVAgQJ6U1MVXOaj8PK2l7WJ3RER9xtqwdhxkhw/edit?usp=sharing"",""ลพบุรี!J410"")"),0)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IFERROR(__xludf.DUMMYFUNCTION("IMPORTRANGE(""https://docs.google.com/spreadsheets/d/1SX6NBoVAgQJ6U1MVXOaj8PK2l7WJ3RER9xtqwdhxkhw/edit?usp=sharing"",""ลพบุรี!I411"")"),0)</f>
        <v>0</v>
      </c>
      <c r="J516" s="268">
        <f ca="1">IFERROR(__xludf.DUMMYFUNCTION("IMPORTRANGE(""https://docs.google.com/spreadsheets/d/1SX6NBoVAgQJ6U1MVXOaj8PK2l7WJ3RER9xtqwdhxkhw/edit?usp=sharing"",""ลพบุรี!J411"")"),0)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IFERROR(__xludf.DUMMYFUNCTION("IMPORTRANGE(""https://docs.google.com/spreadsheets/d/1SX6NBoVAgQJ6U1MVXOaj8PK2l7WJ3RER9xtqwdhxkhw/edit?usp=sharing"",""ลพบุรี!I412"")"),0)</f>
        <v>0</v>
      </c>
      <c r="J517" s="285">
        <f ca="1">IFERROR(__xludf.DUMMYFUNCTION("IMPORTRANGE(""https://docs.google.com/spreadsheets/d/1SX6NBoVAgQJ6U1MVXOaj8PK2l7WJ3RER9xtqwdhxkhw/edit?usp=sharing"",""ลพบุรี!J412"")"),0)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IFERROR(__xludf.DUMMYFUNCTION("IMPORTRANGE(""https://docs.google.com/spreadsheets/d/1SX6NBoVAgQJ6U1MVXOaj8PK2l7WJ3RER9xtqwdhxkhw/edit?usp=sharing"",""ลพบุรี!I413"")"),0)</f>
        <v>0</v>
      </c>
      <c r="J518" s="285">
        <f ca="1">IFERROR(__xludf.DUMMYFUNCTION("IMPORTRANGE(""https://docs.google.com/spreadsheets/d/1SX6NBoVAgQJ6U1MVXOaj8PK2l7WJ3RER9xtqwdhxkhw/edit?usp=sharing"",""ลพบุรี!J413"")"),0)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IFERROR(__xludf.DUMMYFUNCTION("IMPORTRANGE(""https://docs.google.com/spreadsheets/d/1SX6NBoVAgQJ6U1MVXOaj8PK2l7WJ3RER9xtqwdhxkhw/edit?usp=sharing"",""ลพบุรี!I414"")"),0)</f>
        <v>0</v>
      </c>
      <c r="J519" s="188">
        <f ca="1">IFERROR(__xludf.DUMMYFUNCTION("IMPORTRANGE(""https://docs.google.com/spreadsheets/d/1SX6NBoVAgQJ6U1MVXOaj8PK2l7WJ3RER9xtqwdhxkhw/edit?usp=sharing"",""ลพบุรี!J414"")"),0)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IFERROR(__xludf.DUMMYFUNCTION("IMPORTRANGE(""https://docs.google.com/spreadsheets/d/1SX6NBoVAgQJ6U1MVXOaj8PK2l7WJ3RER9xtqwdhxkhw/edit?usp=sharing"",""ลพบุรี!I415"")"),0)</f>
        <v>0</v>
      </c>
      <c r="J520" s="188">
        <f ca="1">IFERROR(__xludf.DUMMYFUNCTION("IMPORTRANGE(""https://docs.google.com/spreadsheets/d/1SX6NBoVAgQJ6U1MVXOaj8PK2l7WJ3RER9xtqwdhxkhw/edit?usp=sharing"",""ลพบุรี!J415"")"),0)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IFERROR(__xludf.DUMMYFUNCTION("IMPORTRANGE(""https://docs.google.com/spreadsheets/d/1SX6NBoVAgQJ6U1MVXOaj8PK2l7WJ3RER9xtqwdhxkhw/edit?usp=sharing"",""ลพบุรี!I416"")"),0)</f>
        <v>0</v>
      </c>
      <c r="J521" s="188">
        <f ca="1">IFERROR(__xludf.DUMMYFUNCTION("IMPORTRANGE(""https://docs.google.com/spreadsheets/d/1SX6NBoVAgQJ6U1MVXOaj8PK2l7WJ3RER9xtqwdhxkhw/edit?usp=sharing"",""ลพบุรี!J416"")"),0)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IFERROR(__xludf.DUMMYFUNCTION("IMPORTRANGE(""https://docs.google.com/spreadsheets/d/1SX6NBoVAgQJ6U1MVXOaj8PK2l7WJ3RER9xtqwdhxkhw/edit?usp=sharing"",""ลพบุรี!I417"")"),0)</f>
        <v>0</v>
      </c>
      <c r="J522" s="188">
        <f ca="1">IFERROR(__xludf.DUMMYFUNCTION("IMPORTRANGE(""https://docs.google.com/spreadsheets/d/1SX6NBoVAgQJ6U1MVXOaj8PK2l7WJ3RER9xtqwdhxkhw/edit?usp=sharing"",""ลพบุรี!J417"")"),0)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IFERROR(__xludf.DUMMYFUNCTION("IMPORTRANGE(""https://docs.google.com/spreadsheets/d/1SX6NBoVAgQJ6U1MVXOaj8PK2l7WJ3RER9xtqwdhxkhw/edit?usp=sharing"",""ลพบุรี!I418"")"),0)</f>
        <v>0</v>
      </c>
      <c r="J523" s="188">
        <f ca="1">IFERROR(__xludf.DUMMYFUNCTION("IMPORTRANGE(""https://docs.google.com/spreadsheets/d/1SX6NBoVAgQJ6U1MVXOaj8PK2l7WJ3RER9xtqwdhxkhw/edit?usp=sharing"",""ลพบุรี!J418"")"),10)</f>
        <v>10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IFERROR(__xludf.DUMMYFUNCTION("IMPORTRANGE(""https://docs.google.com/spreadsheets/d/1SX6NBoVAgQJ6U1MVXOaj8PK2l7WJ3RER9xtqwdhxkhw/edit?usp=sharing"",""ลพบุรี!I419"")"),0)</f>
        <v>0</v>
      </c>
      <c r="J524" s="188">
        <f ca="1">IFERROR(__xludf.DUMMYFUNCTION("IMPORTRANGE(""https://docs.google.com/spreadsheets/d/1SX6NBoVAgQJ6U1MVXOaj8PK2l7WJ3RER9xtqwdhxkhw/edit?usp=sharing"",""ลพบุรี!J419"")"),1)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IFERROR(__xludf.DUMMYFUNCTION("IMPORTRANGE(""https://docs.google.com/spreadsheets/d/1SX6NBoVAgQJ6U1MVXOaj8PK2l7WJ3RER9xtqwdhxkhw/edit?usp=sharing"",""ลพบุรี!I420"")"),10)</f>
        <v>10</v>
      </c>
      <c r="J525" s="285">
        <f ca="1">IFERROR(__xludf.DUMMYFUNCTION("IMPORTRANGE(""https://docs.google.com/spreadsheets/d/1SX6NBoVAgQJ6U1MVXOaj8PK2l7WJ3RER9xtqwdhxkhw/edit?usp=sharing"",""ลพบุรี!J420"")"),0)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IFERROR(__xludf.DUMMYFUNCTION("IMPORTRANGE(""https://docs.google.com/spreadsheets/d/1SX6NBoVAgQJ6U1MVXOaj8PK2l7WJ3RER9xtqwdhxkhw/edit?usp=sharing"",""ลพบุรี!I421"")"),1)</f>
        <v>1</v>
      </c>
      <c r="J526" s="285">
        <f ca="1">IFERROR(__xludf.DUMMYFUNCTION("IMPORTRANGE(""https://docs.google.com/spreadsheets/d/1SX6NBoVAgQJ6U1MVXOaj8PK2l7WJ3RER9xtqwdhxkhw/edit?usp=sharing"",""ลพบุรี!J421"")"),0)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IFERROR(__xludf.DUMMYFUNCTION("IMPORTRANGE(""https://docs.google.com/spreadsheets/d/1SX6NBoVAgQJ6U1MVXOaj8PK2l7WJ3RER9xtqwdhxkhw/edit?usp=sharing"",""ลพบุรี!I422"")"),0)</f>
        <v>0</v>
      </c>
      <c r="J527" s="198">
        <f ca="1">IFERROR(__xludf.DUMMYFUNCTION("IMPORTRANGE(""https://docs.google.com/spreadsheets/d/1SX6NBoVAgQJ6U1MVXOaj8PK2l7WJ3RER9xtqwdhxkhw/edit?usp=sharing"",""ลพบุรี!J422"")"),0)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IFERROR(__xludf.DUMMYFUNCTION("IMPORTRANGE(""https://docs.google.com/spreadsheets/d/1SX6NBoVAgQJ6U1MVXOaj8PK2l7WJ3RER9xtqwdhxkhw/edit?usp=sharing"",""ลพบุรี!I423"")"),0)</f>
        <v>0</v>
      </c>
      <c r="J528" s="198">
        <f ca="1">IFERROR(__xludf.DUMMYFUNCTION("IMPORTRANGE(""https://docs.google.com/spreadsheets/d/1SX6NBoVAgQJ6U1MVXOaj8PK2l7WJ3RER9xtqwdhxkhw/edit?usp=sharing"",""ลพบุรี!J423"")"),0)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IFERROR(__xludf.DUMMYFUNCTION("IMPORTRANGE(""https://docs.google.com/spreadsheets/d/1SX6NBoVAgQJ6U1MVXOaj8PK2l7WJ3RER9xtqwdhxkhw/edit?usp=sharing"",""ลพบุรี!I424"")"),0)</f>
        <v>0</v>
      </c>
      <c r="J529" s="198">
        <f ca="1">IFERROR(__xludf.DUMMYFUNCTION("IMPORTRANGE(""https://docs.google.com/spreadsheets/d/1SX6NBoVAgQJ6U1MVXOaj8PK2l7WJ3RER9xtqwdhxkhw/edit?usp=sharing"",""ลพบุรี!J424"")"),0)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IFERROR(__xludf.DUMMYFUNCTION("IMPORTRANGE(""https://docs.google.com/spreadsheets/d/1SX6NBoVAgQJ6U1MVXOaj8PK2l7WJ3RER9xtqwdhxkhw/edit?usp=sharing"",""ลพบุรี!I425"")"),0)</f>
        <v>0</v>
      </c>
      <c r="J530" s="198">
        <f ca="1">IFERROR(__xludf.DUMMYFUNCTION("IMPORTRANGE(""https://docs.google.com/spreadsheets/d/1SX6NBoVAgQJ6U1MVXOaj8PK2l7WJ3RER9xtqwdhxkhw/edit?usp=sharing"",""ลพบุรี!J425"")"),0)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IFERROR(__xludf.DUMMYFUNCTION("IMPORTRANGE(""https://docs.google.com/spreadsheets/d/1SX6NBoVAgQJ6U1MVXOaj8PK2l7WJ3RER9xtqwdhxkhw/edit?usp=sharing"",""ลพบุรี!I426"")"),0)</f>
        <v>0</v>
      </c>
      <c r="J531" s="198">
        <f ca="1">IFERROR(__xludf.DUMMYFUNCTION("IMPORTRANGE(""https://docs.google.com/spreadsheets/d/1SX6NBoVAgQJ6U1MVXOaj8PK2l7WJ3RER9xtqwdhxkhw/edit?usp=sharing"",""ลพบุรี!J426"")"),0)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IFERROR(__xludf.DUMMYFUNCTION("IMPORTRANGE(""https://docs.google.com/spreadsheets/d/1SX6NBoVAgQJ6U1MVXOaj8PK2l7WJ3RER9xtqwdhxkhw/edit?usp=sharing"",""ลพบุรี!M428"")"),27220)</f>
        <v>27220</v>
      </c>
      <c r="O533" s="412">
        <f t="shared" ref="O533:O537" ca="1" si="118">+IF(L533&gt;0,N533*100/L533,0)</f>
        <v>79.266161910308682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IFERROR(__xludf.DUMMYFUNCTION("IMPORTRANGE(""https://docs.google.com/spreadsheets/d/1SX6NBoVAgQJ6U1MVXOaj8PK2l7WJ3RER9xtqwdhxkhw/edit?usp=sharing"",""ลพบุรี!L429"")"),0)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IFERROR(__xludf.DUMMYFUNCTION("IMPORTRANGE(""https://docs.google.com/spreadsheets/d/1SX6NBoVAgQJ6U1MVXOaj8PK2l7WJ3RER9xtqwdhxkhw/edit?usp=sharing"",""ลพบุรี!M429"")"),0)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IFERROR(__xludf.DUMMYFUNCTION("IMPORTRANGE(""https://docs.google.com/spreadsheets/d/1SX6NBoVAgQJ6U1MVXOaj8PK2l7WJ3RER9xtqwdhxkhw/edit?usp=sharing"",""ลพบุรี!L430"")"),34340)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IFERROR(__xludf.DUMMYFUNCTION("IMPORTRANGE(""https://docs.google.com/spreadsheets/d/1SX6NBoVAgQJ6U1MVXOaj8PK2l7WJ3RER9xtqwdhxkhw/edit?usp=sharing"",""ลพบุรี!M430"")"),27220)</f>
        <v>27220</v>
      </c>
      <c r="O535" s="169">
        <f t="shared" ca="1" si="118"/>
        <v>79.266161910308682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IFERROR(__xludf.DUMMYFUNCTION("IMPORTRANGE(""https://docs.google.com/spreadsheets/d/1SX6NBoVAgQJ6U1MVXOaj8PK2l7WJ3RER9xtqwdhxkhw/edit?usp=sharing"",""ลพบุรี!L431"")"),0)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IFERROR(__xludf.DUMMYFUNCTION("IMPORTRANGE(""https://docs.google.com/spreadsheets/d/1SX6NBoVAgQJ6U1MVXOaj8PK2l7WJ3RER9xtqwdhxkhw/edit?usp=sharing"",""ลพบุรี!M431"")"),0)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IFERROR(__xludf.DUMMYFUNCTION("IMPORTRANGE(""https://docs.google.com/spreadsheets/d/1SX6NBoVAgQJ6U1MVXOaj8PK2l7WJ3RER9xtqwdhxkhw/edit?usp=sharing"",""ลพบุรี!L432"")"),34340)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IFERROR(__xludf.DUMMYFUNCTION("IMPORTRANGE(""https://docs.google.com/spreadsheets/d/1SX6NBoVAgQJ6U1MVXOaj8PK2l7WJ3RER9xtqwdhxkhw/edit?usp=sharing"",""ลพบุรี!M432"")"),27220)</f>
        <v>27220</v>
      </c>
      <c r="O537" s="169">
        <f t="shared" ca="1" si="118"/>
        <v>79.266161910308682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IFERROR(__xludf.DUMMYFUNCTION("IMPORTRANGE(""https://docs.google.com/spreadsheets/d/1SX6NBoVAgQJ6U1MVXOaj8PK2l7WJ3RER9xtqwdhxkhw/edit?usp=sharing"",""ลพบุรี!M436"")"),8480)</f>
        <v>8480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IFERROR(__xludf.DUMMYFUNCTION("IMPORTRANGE(""https://docs.google.com/spreadsheets/d/1SX6NBoVAgQJ6U1MVXOaj8PK2l7WJ3RER9xtqwdhxkhw/edit?usp=sharing"",""ลพบุรี!J438"")"),0)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IFERROR(__xludf.DUMMYFUNCTION("IMPORTRANGE(""https://docs.google.com/spreadsheets/d/1SX6NBoVAgQJ6U1MVXOaj8PK2l7WJ3RER9xtqwdhxkhw/edit?usp=sharing"",""ลพบุรี!J439"")"),1)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IFERROR(__xludf.DUMMYFUNCTION("IMPORTRANGE(""https://docs.google.com/spreadsheets/d/1SX6NBoVAgQJ6U1MVXOaj8PK2l7WJ3RER9xtqwdhxkhw/edit?usp=sharing"",""ลพบุรี!J440"")"),1)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IFERROR(__xludf.DUMMYFUNCTION("IMPORTRANGE(""https://docs.google.com/spreadsheets/d/1SX6NBoVAgQJ6U1MVXOaj8PK2l7WJ3RER9xtqwdhxkhw/edit?usp=sharing"",""ลพบุรี!J441"")"),1)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IFERROR(__xludf.DUMMYFUNCTION("IMPORTRANGE(""https://docs.google.com/spreadsheets/d/1SX6NBoVAgQJ6U1MVXOaj8PK2l7WJ3RER9xtqwdhxkhw/edit?usp=sharing"",""ลพบุรี!I442"")"),22)</f>
        <v>22</v>
      </c>
      <c r="J547" s="189">
        <f ca="1">IFERROR(__xludf.DUMMYFUNCTION("IMPORTRANGE(""https://docs.google.com/spreadsheets/d/1SX6NBoVAgQJ6U1MVXOaj8PK2l7WJ3RER9xtqwdhxkhw/edit?usp=sharing"",""ลพบุรี!J442"")"),22)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IFERROR(__xludf.DUMMYFUNCTION("IMPORTRANGE(""https://docs.google.com/spreadsheets/d/1SX6NBoVAgQJ6U1MVXOaj8PK2l7WJ3RER9xtqwdhxkhw/edit?usp=sharing"",""ลพบุรี!J166"")"),0)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IFERROR(__xludf.DUMMYFUNCTION("IMPORTRANGE(""https://docs.google.com/spreadsheets/d/1SX6NBoVAgQJ6U1MVXOaj8PK2l7WJ3RER9xtqwdhxkhw/edit?usp=sharing"",""ลพบุรี!J444"")"),1)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IFERROR(__xludf.DUMMYFUNCTION("IMPORTRANGE(""https://docs.google.com/spreadsheets/d/1SX6NBoVAgQJ6U1MVXOaj8PK2l7WJ3RER9xtqwdhxkhw/edit?usp=sharing"",""ลพบุรี!L447"")"),0)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IFERROR(__xludf.DUMMYFUNCTION("IMPORTRANGE(""https://docs.google.com/spreadsheets/d/1SX6NBoVAgQJ6U1MVXOaj8PK2l7WJ3RER9xtqwdhxkhw/edit?usp=sharing"",""ลพบุรี!M447"")"),0)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IFERROR(__xludf.DUMMYFUNCTION("IMPORTRANGE(""https://docs.google.com/spreadsheets/d/1SX6NBoVAgQJ6U1MVXOaj8PK2l7WJ3RER9xtqwdhxkhw/edit?usp=sharing"",""ลพบุรี!L448"")"),0)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IFERROR(__xludf.DUMMYFUNCTION("IMPORTRANGE(""https://docs.google.com/spreadsheets/d/1SX6NBoVAgQJ6U1MVXOaj8PK2l7WJ3RER9xtqwdhxkhw/edit?usp=sharing"",""ลพบุรี!M448"")"),0)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IFERROR(__xludf.DUMMYFUNCTION("IMPORTRANGE(""https://docs.google.com/spreadsheets/d/1SX6NBoVAgQJ6U1MVXOaj8PK2l7WJ3RER9xtqwdhxkhw/edit?usp=sharing"",""ลพบุรี!L449"")"),0)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IFERROR(__xludf.DUMMYFUNCTION("IMPORTRANGE(""https://docs.google.com/spreadsheets/d/1SX6NBoVAgQJ6U1MVXOaj8PK2l7WJ3RER9xtqwdhxkhw/edit?usp=sharing"",""ลพบุรี!M449"")"),0)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IFERROR(__xludf.DUMMYFUNCTION("IMPORTRANGE(""https://docs.google.com/spreadsheets/d/1SX6NBoVAgQJ6U1MVXOaj8PK2l7WJ3RER9xtqwdhxkhw/edit?usp=sharing"",""ลพบุรี!L450"")"),0)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IFERROR(__xludf.DUMMYFUNCTION("IMPORTRANGE(""https://docs.google.com/spreadsheets/d/1SX6NBoVAgQJ6U1MVXOaj8PK2l7WJ3RER9xtqwdhxkhw/edit?usp=sharing"",""ลพบุรี!M450"")"),0)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IFERROR(__xludf.DUMMYFUNCTION("IMPORTRANGE(""https://docs.google.com/spreadsheets/d/1SX6NBoVAgQJ6U1MVXOaj8PK2l7WJ3RER9xtqwdhxkhw/edit?usp=sharing"",""ลพบุรี!M451"")"),0)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IFERROR(__xludf.DUMMYFUNCTION("IMPORTRANGE(""https://docs.google.com/spreadsheets/d/1SX6NBoVAgQJ6U1MVXOaj8PK2l7WJ3RER9xtqwdhxkhw/edit?usp=sharing"",""ลพบุรี!M452"")"),0)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IFERROR(__xludf.DUMMYFUNCTION("IMPORTRANGE(""https://docs.google.com/spreadsheets/d/1SX6NBoVAgQJ6U1MVXOaj8PK2l7WJ3RER9xtqwdhxkhw/edit?usp=sharing"",""ลพบุรี!M453"")"),0)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IFERROR(__xludf.DUMMYFUNCTION("IMPORTRANGE(""https://docs.google.com/spreadsheets/d/1SX6NBoVAgQJ6U1MVXOaj8PK2l7WJ3RER9xtqwdhxkhw/edit?usp=sharing"",""ลพบุรี!M454"")"),0)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IFERROR(__xludf.DUMMYFUNCTION("IMPORTRANGE(""https://docs.google.com/spreadsheets/d/1SX6NBoVAgQJ6U1MVXOaj8PK2l7WJ3RER9xtqwdhxkhw/edit?usp=sharing"",""ลพบุรี!I455"")"),0)</f>
        <v>0</v>
      </c>
      <c r="J560" s="162">
        <f ca="1">IFERROR(__xludf.DUMMYFUNCTION("IMPORTRANGE(""https://docs.google.com/spreadsheets/d/1SX6NBoVAgQJ6U1MVXOaj8PK2l7WJ3RER9xtqwdhxkhw/edit?usp=sharing"",""ลพบุรี!J455"")"),0)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IFERROR(__xludf.DUMMYFUNCTION("IMPORTRANGE(""https://docs.google.com/spreadsheets/d/1SX6NBoVAgQJ6U1MVXOaj8PK2l7WJ3RER9xtqwdhxkhw/edit?usp=sharing"",""ลพบุรี!I456"")"),0)</f>
        <v>0</v>
      </c>
      <c r="J561" s="204">
        <f ca="1">IFERROR(__xludf.DUMMYFUNCTION("IMPORTRANGE(""https://docs.google.com/spreadsheets/d/1SX6NBoVAgQJ6U1MVXOaj8PK2l7WJ3RER9xtqwdhxkhw/edit?usp=sharing"",""ลพบุรี!J456"")"),0)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IFERROR(__xludf.DUMMYFUNCTION("IMPORTRANGE(""https://docs.google.com/spreadsheets/d/1SX6NBoVAgQJ6U1MVXOaj8PK2l7WJ3RER9xtqwdhxkhw/edit?usp=sharing"",""ลพบุรี!J459"")"),2950)</f>
        <v>2950</v>
      </c>
      <c r="K564" s="372">
        <f ca="1">IF(I564&gt;0,J564*100/I564,0)</f>
        <v>218.5185185185185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IFERROR(__xludf.DUMMYFUNCTION("IMPORTRANGE(""https://docs.google.com/spreadsheets/d/1SX6NBoVAgQJ6U1MVXOaj8PK2l7WJ3RER9xtqwdhxkhw/edit?usp=sharing"",""ลพบุรี!L460"")"),0)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IFERROR(__xludf.DUMMYFUNCTION("IMPORTRANGE(""https://docs.google.com/spreadsheets/d/1SX6NBoVAgQJ6U1MVXOaj8PK2l7WJ3RER9xtqwdhxkhw/edit?usp=sharing"",""ลพบุรี!M460"")"),0)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IFERROR(__xludf.DUMMYFUNCTION("IMPORTRANGE(""https://docs.google.com/spreadsheets/d/1SX6NBoVAgQJ6U1MVXOaj8PK2l7WJ3RER9xtqwdhxkhw/edit?usp=sharing"",""ลพบุรี!L461"")"),127680)</f>
        <v>127680</v>
      </c>
      <c r="M566" s="165"/>
      <c r="N566" s="169">
        <f ca="1">IFERROR(__xludf.DUMMYFUNCTION("IMPORTRANGE(""https://docs.google.com/spreadsheets/d/1SX6NBoVAgQJ6U1MVXOaj8PK2l7WJ3RER9xtqwdhxkhw/edit?usp=sharing"",""ลพบุรี!M461"")"),52410)</f>
        <v>52410</v>
      </c>
      <c r="O566" s="169">
        <f t="shared" ca="1" si="122"/>
        <v>41.047932330827066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IFERROR(__xludf.DUMMYFUNCTION("IMPORTRANGE(""https://docs.google.com/spreadsheets/d/1SX6NBoVAgQJ6U1MVXOaj8PK2l7WJ3RER9xtqwdhxkhw/edit?usp=sharing"",""ลพบุรี!L462"")"),0)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IFERROR(__xludf.DUMMYFUNCTION("IMPORTRANGE(""https://docs.google.com/spreadsheets/d/1SX6NBoVAgQJ6U1MVXOaj8PK2l7WJ3RER9xtqwdhxkhw/edit?usp=sharing"",""ลพบุรี!M462"")"),0)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IFERROR(__xludf.DUMMYFUNCTION("IMPORTRANGE(""https://docs.google.com/spreadsheets/d/1SX6NBoVAgQJ6U1MVXOaj8PK2l7WJ3RER9xtqwdhxkhw/edit?usp=sharing"",""ลพบุรี!L463"")"),127680)</f>
        <v>127680</v>
      </c>
      <c r="M568" s="169"/>
      <c r="N568" s="169">
        <f ca="1">IFERROR(__xludf.DUMMYFUNCTION("IMPORTRANGE(""https://docs.google.com/spreadsheets/d/1SX6NBoVAgQJ6U1MVXOaj8PK2l7WJ3RER9xtqwdhxkhw/edit?usp=sharing"",""ลพบุรี!M463"")"),52410)</f>
        <v>52410</v>
      </c>
      <c r="O568" s="169">
        <f t="shared" ca="1" si="122"/>
        <v>41.047932330827066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IFERROR(__xludf.DUMMYFUNCTION("IMPORTRANGE(""https://docs.google.com/spreadsheets/d/1SX6NBoVAgQJ6U1MVXOaj8PK2l7WJ3RER9xtqwdhxkhw/edit?usp=sharing"",""ลพบุรี!M464"")"),0)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IFERROR(__xludf.DUMMYFUNCTION("IMPORTRANGE(""https://docs.google.com/spreadsheets/d/1SX6NBoVAgQJ6U1MVXOaj8PK2l7WJ3RER9xtqwdhxkhw/edit?usp=sharing"",""ลพบุรี!M465"")"),0)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IFERROR(__xludf.DUMMYFUNCTION("IMPORTRANGE(""https://docs.google.com/spreadsheets/d/1SX6NBoVAgQJ6U1MVXOaj8PK2l7WJ3RER9xtqwdhxkhw/edit?usp=sharing"",""ลพบุรี!J468"")"),2950)</f>
        <v>2950</v>
      </c>
      <c r="K573" s="202">
        <f ca="1">IF(I573&gt;0,J573*100/I573,0)</f>
        <v>218.5185185185185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IFERROR(__xludf.DUMMYFUNCTION("IMPORTRANGE(""https://docs.google.com/spreadsheets/d/1SX6NBoVAgQJ6U1MVXOaj8PK2l7WJ3RER9xtqwdhxkhw/edit?usp=sharing"",""ลพบุรี!I470"")"),0)</f>
        <v>0</v>
      </c>
      <c r="J575" s="198">
        <f ca="1">IFERROR(__xludf.DUMMYFUNCTION("IMPORTRANGE(""https://docs.google.com/spreadsheets/d/1SX6NBoVAgQJ6U1MVXOaj8PK2l7WJ3RER9xtqwdhxkhw/edit?usp=sharing"",""ลพบุรี!J470"")"),6)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IFERROR(__xludf.DUMMYFUNCTION("IMPORTRANGE(""https://docs.google.com/spreadsheets/d/1SX6NBoVAgQJ6U1MVXOaj8PK2l7WJ3RER9xtqwdhxkhw/edit?usp=sharing"",""ลพบุรี!I471"")"),0)</f>
        <v>0</v>
      </c>
      <c r="J576" s="198">
        <f ca="1">IFERROR(__xludf.DUMMYFUNCTION("IMPORTRANGE(""https://docs.google.com/spreadsheets/d/1SX6NBoVAgQJ6U1MVXOaj8PK2l7WJ3RER9xtqwdhxkhw/edit?usp=sharing"",""ลพบุรี!J471"")"),408)</f>
        <v>408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IFERROR(__xludf.DUMMYFUNCTION("IMPORTRANGE(""https://docs.google.com/spreadsheets/d/1SX6NBoVAgQJ6U1MVXOaj8PK2l7WJ3RER9xtqwdhxkhw/edit?usp=sharing"",""ลพบุรี!I472"")"),0)</f>
        <v>0</v>
      </c>
      <c r="J577" s="189">
        <f ca="1">IFERROR(__xludf.DUMMYFUNCTION("IMPORTRANGE(""https://docs.google.com/spreadsheets/d/1SX6NBoVAgQJ6U1MVXOaj8PK2l7WJ3RER9xtqwdhxkhw/edit?usp=sharing"",""ลพบุรี!J472"")"),2542)</f>
        <v>2542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IFERROR(__xludf.DUMMYFUNCTION("IMPORTRANGE(""https://docs.google.com/spreadsheets/d/1SX6NBoVAgQJ6U1MVXOaj8PK2l7WJ3RER9xtqwdhxkhw/edit?usp=sharing"",""ลพบุรี!I473"")"),0)</f>
        <v>0</v>
      </c>
      <c r="J578" s="198">
        <f ca="1">IFERROR(__xludf.DUMMYFUNCTION("IMPORTRANGE(""https://docs.google.com/spreadsheets/d/1SX6NBoVAgQJ6U1MVXOaj8PK2l7WJ3RER9xtqwdhxkhw/edit?usp=sharing"",""ลพบุรี!J473"")"),0)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IFERROR(__xludf.DUMMYFUNCTION("IMPORTRANGE(""https://docs.google.com/spreadsheets/d/1SX6NBoVAgQJ6U1MVXOaj8PK2l7WJ3RER9xtqwdhxkhw/edit?usp=sharing"",""ลพบุรี!I474"")"),0)</f>
        <v>0</v>
      </c>
      <c r="J579" s="198">
        <f ca="1">IFERROR(__xludf.DUMMYFUNCTION("IMPORTRANGE(""https://docs.google.com/spreadsheets/d/1SX6NBoVAgQJ6U1MVXOaj8PK2l7WJ3RER9xtqwdhxkhw/edit?usp=sharing"",""ลพบุรี!J474"")"),0)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IFERROR(__xludf.DUMMYFUNCTION("IMPORTRANGE(""https://docs.google.com/spreadsheets/d/1SX6NBoVAgQJ6U1MVXOaj8PK2l7WJ3RER9xtqwdhxkhw/edit?usp=sharing"",""ลพบุรี!L476"")"),0)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IFERROR(__xludf.DUMMYFUNCTION("IMPORTRANGE(""https://docs.google.com/spreadsheets/d/1SX6NBoVAgQJ6U1MVXOaj8PK2l7WJ3RER9xtqwdhxkhw/edit?usp=sharing"",""ลพบุรี!M476"")"),0)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IFERROR(__xludf.DUMMYFUNCTION("IMPORTRANGE(""https://docs.google.com/spreadsheets/d/1SX6NBoVAgQJ6U1MVXOaj8PK2l7WJ3RER9xtqwdhxkhw/edit?usp=sharing"",""ลพบุรี!L477"")"),0)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IFERROR(__xludf.DUMMYFUNCTION("IMPORTRANGE(""https://docs.google.com/spreadsheets/d/1SX6NBoVAgQJ6U1MVXOaj8PK2l7WJ3RER9xtqwdhxkhw/edit?usp=sharing"",""ลพบุรี!M477"")"),0)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IFERROR(__xludf.DUMMYFUNCTION("IMPORTRANGE(""https://docs.google.com/spreadsheets/d/1SX6NBoVAgQJ6U1MVXOaj8PK2l7WJ3RER9xtqwdhxkhw/edit?usp=sharing"",""ลพบุรี!L478"")"),0)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IFERROR(__xludf.DUMMYFUNCTION("IMPORTRANGE(""https://docs.google.com/spreadsheets/d/1SX6NBoVAgQJ6U1MVXOaj8PK2l7WJ3RER9xtqwdhxkhw/edit?usp=sharing"",""ลพบุรี!M478"")"),0)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IFERROR(__xludf.DUMMYFUNCTION("IMPORTRANGE(""https://docs.google.com/spreadsheets/d/1SX6NBoVAgQJ6U1MVXOaj8PK2l7WJ3RER9xtqwdhxkhw/edit?usp=sharing"",""ลพบุรี!L479"")"),0)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IFERROR(__xludf.DUMMYFUNCTION("IMPORTRANGE(""https://docs.google.com/spreadsheets/d/1SX6NBoVAgQJ6U1MVXOaj8PK2l7WJ3RER9xtqwdhxkhw/edit?usp=sharing"",""ลพบุรี!M479"")"),0)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IFERROR(__xludf.DUMMYFUNCTION("IMPORTRANGE(""https://docs.google.com/spreadsheets/d/1SX6NBoVAgQJ6U1MVXOaj8PK2l7WJ3RER9xtqwdhxkhw/edit?usp=sharing"",""ลพบุรี!M480"")"),0)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IFERROR(__xludf.DUMMYFUNCTION("IMPORTRANGE(""https://docs.google.com/spreadsheets/d/1SX6NBoVAgQJ6U1MVXOaj8PK2l7WJ3RER9xtqwdhxkhw/edit?usp=sharing"",""ลพบุรี!M481"")"),0)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IFERROR(__xludf.DUMMYFUNCTION("IMPORTRANGE(""https://docs.google.com/spreadsheets/d/1SX6NBoVAgQJ6U1MVXOaj8PK2l7WJ3RER9xtqwdhxkhw/edit?usp=sharing"",""ลพบุรี!M482"")"),0)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IFERROR(__xludf.DUMMYFUNCTION("IMPORTRANGE(""https://docs.google.com/spreadsheets/d/1SX6NBoVAgQJ6U1MVXOaj8PK2l7WJ3RER9xtqwdhxkhw/edit?usp=sharing"",""ลพบุรี!M483"")"),0)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IFERROR(__xludf.DUMMYFUNCTION("IMPORTRANGE(""https://docs.google.com/spreadsheets/d/1SX6NBoVAgQJ6U1MVXOaj8PK2l7WJ3RER9xtqwdhxkhw/edit?usp=sharing"",""ลพบุรี!I484"")"),0)</f>
        <v>0</v>
      </c>
      <c r="J589" s="188">
        <f ca="1">IFERROR(__xludf.DUMMYFUNCTION("IMPORTRANGE(""https://docs.google.com/spreadsheets/d/1SX6NBoVAgQJ6U1MVXOaj8PK2l7WJ3RER9xtqwdhxkhw/edit?usp=sharing"",""ลพบุรี!J484"")"),2)</f>
        <v>2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8">
        <f ca="1">IFERROR(__xludf.DUMMYFUNCTION("IMPORTRANGE(""https://docs.google.com/spreadsheets/d/1SX6NBoVAgQJ6U1MVXOaj8PK2l7WJ3RER9xtqwdhxkhw/edit?usp=sharing"",""ลพบุรี!J485"")"),2.04)</f>
        <v>2.04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IFERROR(__xludf.DUMMYFUNCTION("IMPORTRANGE(""https://docs.google.com/spreadsheets/d/1SX6NBoVAgQJ6U1MVXOaj8PK2l7WJ3RER9xtqwdhxkhw/edit?usp=sharing"",""ลพบุรี!I486"")"),0)</f>
        <v>0</v>
      </c>
      <c r="J591" s="188">
        <f ca="1">IFERROR(__xludf.DUMMYFUNCTION("IMPORTRANGE(""https://docs.google.com/spreadsheets/d/1SX6NBoVAgQJ6U1MVXOaj8PK2l7WJ3RER9xtqwdhxkhw/edit?usp=sharing"",""ลพบุรี!J486"")"),6)</f>
        <v>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8">
        <f ca="1">IFERROR(__xludf.DUMMYFUNCTION("IMPORTRANGE(""https://docs.google.com/spreadsheets/d/1SX6NBoVAgQJ6U1MVXOaj8PK2l7WJ3RER9xtqwdhxkhw/edit?usp=sharing"",""ลพบุรี!J487"")"),2.7)</f>
        <v>2.7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IFERROR(__xludf.DUMMYFUNCTION("IMPORTRANGE(""https://docs.google.com/spreadsheets/d/1SX6NBoVAgQJ6U1MVXOaj8PK2l7WJ3RER9xtqwdhxkhw/edit?usp=sharing"",""ลพบุรี!I488"")"),0)</f>
        <v>0</v>
      </c>
      <c r="J593" s="188">
        <f ca="1">IFERROR(__xludf.DUMMYFUNCTION("IMPORTRANGE(""https://docs.google.com/spreadsheets/d/1SX6NBoVAgQJ6U1MVXOaj8PK2l7WJ3RER9xtqwdhxkhw/edit?usp=sharing"",""ลพบุรี!J488"")"),1)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8">
        <f ca="1">IFERROR(__xludf.DUMMYFUNCTION("IMPORTRANGE(""https://docs.google.com/spreadsheets/d/1SX6NBoVAgQJ6U1MVXOaj8PK2l7WJ3RER9xtqwdhxkhw/edit?usp=sharing"",""ลพบุรี!J489"")"),0.59)</f>
        <v>0.59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IFERROR(__xludf.DUMMYFUNCTION("IMPORTRANGE(""https://docs.google.com/spreadsheets/d/1SX6NBoVAgQJ6U1MVXOaj8PK2l7WJ3RER9xtqwdhxkhw/edit?usp=sharing"",""ลพบุรี!I490"")"),0)</f>
        <v>0</v>
      </c>
      <c r="J595" s="188">
        <f ca="1">IFERROR(__xludf.DUMMYFUNCTION("IMPORTRANGE(""https://docs.google.com/spreadsheets/d/1SX6NBoVAgQJ6U1MVXOaj8PK2l7WJ3RER9xtqwdhxkhw/edit?usp=sharing"",""ลพบุรี!J490"")"),3)</f>
        <v>3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IFERROR(__xludf.DUMMYFUNCTION("IMPORTRANGE(""https://docs.google.com/spreadsheets/d/1SX6NBoVAgQJ6U1MVXOaj8PK2l7WJ3RER9xtqwdhxkhw/edit?usp=sharing"",""ลพบุรี!I491"")"),0)</f>
        <v>0</v>
      </c>
      <c r="J596" s="242">
        <f ca="1">IFERROR(__xludf.DUMMYFUNCTION("IMPORTRANGE(""https://docs.google.com/spreadsheets/d/1SX6NBoVAgQJ6U1MVXOaj8PK2l7WJ3RER9xtqwdhxkhw/edit?usp=sharing"",""ลพบุรี!J491"")"),1.51)</f>
        <v>1.51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7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7.2808988764044944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IFERROR(__xludf.DUMMYFUNCTION("IMPORTRANGE(""https://docs.google.com/spreadsheets/d/1SX6NBoVAgQJ6U1MVXOaj8PK2l7WJ3RER9xtqwdhxkhw/edit?usp=sharing"",""ลพบุรี!L493"")"),0)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IFERROR(__xludf.DUMMYFUNCTION("IMPORTRANGE(""https://docs.google.com/spreadsheets/d/1SX6NBoVAgQJ6U1MVXOaj8PK2l7WJ3RER9xtqwdhxkhw/edit?usp=sharing"",""ลพบุรี!M493"")"),0)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IFERROR(__xludf.DUMMYFUNCTION("IMPORTRANGE(""https://docs.google.com/spreadsheets/d/1SX6NBoVAgQJ6U1MVXOaj8PK2l7WJ3RER9xtqwdhxkhw/edit?usp=sharing"",""ลพบุรี!L494"")"),8900)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IFERROR(__xludf.DUMMYFUNCTION("IMPORTRANGE(""https://docs.google.com/spreadsheets/d/1SX6NBoVAgQJ6U1MVXOaj8PK2l7WJ3RER9xtqwdhxkhw/edit?usp=sharing"",""ลพบุรี!M494"")"),648)</f>
        <v>648</v>
      </c>
      <c r="O599" s="169">
        <f t="shared" ca="1" si="126"/>
        <v>7.2808988764044944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IFERROR(__xludf.DUMMYFUNCTION("IMPORTRANGE(""https://docs.google.com/spreadsheets/d/1SX6NBoVAgQJ6U1MVXOaj8PK2l7WJ3RER9xtqwdhxkhw/edit?usp=sharing"",""ลพบุรี!L495"")"),0)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IFERROR(__xludf.DUMMYFUNCTION("IMPORTRANGE(""https://docs.google.com/spreadsheets/d/1SX6NBoVAgQJ6U1MVXOaj8PK2l7WJ3RER9xtqwdhxkhw/edit?usp=sharing"",""ลพบุรี!M495"")"),0)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IFERROR(__xludf.DUMMYFUNCTION("IMPORTRANGE(""https://docs.google.com/spreadsheets/d/1SX6NBoVAgQJ6U1MVXOaj8PK2l7WJ3RER9xtqwdhxkhw/edit?usp=sharing"",""ลพบุรี!L496"")"),8900)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IFERROR(__xludf.DUMMYFUNCTION("IMPORTRANGE(""https://docs.google.com/spreadsheets/d/1SX6NBoVAgQJ6U1MVXOaj8PK2l7WJ3RER9xtqwdhxkhw/edit?usp=sharing"",""ลพบุรี!M496"")"),648)</f>
        <v>648</v>
      </c>
      <c r="O601" s="169">
        <f t="shared" ca="1" si="126"/>
        <v>7.2808988764044944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IFERROR(__xludf.DUMMYFUNCTION("IMPORTRANGE(""https://docs.google.com/spreadsheets/d/1SX6NBoVAgQJ6U1MVXOaj8PK2l7WJ3RER9xtqwdhxkhw/edit?usp=sharing"",""ลพบุรี!M497"")"),0)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IFERROR(__xludf.DUMMYFUNCTION("IMPORTRANGE(""https://docs.google.com/spreadsheets/d/1SX6NBoVAgQJ6U1MVXOaj8PK2l7WJ3RER9xtqwdhxkhw/edit?usp=sharing"",""ลพบุรี!M498"")"),0)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IFERROR(__xludf.DUMMYFUNCTION("IMPORTRANGE(""https://docs.google.com/spreadsheets/d/1SX6NBoVAgQJ6U1MVXOaj8PK2l7WJ3RER9xtqwdhxkhw/edit?usp=sharing"",""ลพบุรี!J502"")"),0)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IFERROR(__xludf.DUMMYFUNCTION("IMPORTRANGE(""https://docs.google.com/spreadsheets/d/1SX6NBoVAgQJ6U1MVXOaj8PK2l7WJ3RER9xtqwdhxkhw/edit?usp=sharing"",""ลพบุรี!J503"")"),1)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IFERROR(__xludf.DUMMYFUNCTION("IMPORTRANGE(""https://docs.google.com/spreadsheets/d/1SX6NBoVAgQJ6U1MVXOaj8PK2l7WJ3RER9xtqwdhxkhw/edit?usp=sharing"",""ลพบุรี!J166"")"),0)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IFERROR(__xludf.DUMMYFUNCTION("IMPORTRANGE(""https://docs.google.com/spreadsheets/d/1SX6NBoVAgQJ6U1MVXOaj8PK2l7WJ3RER9xtqwdhxkhw/edit?usp=sharing"",""ลพบุรี!J166"")"),0)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IFERROR(__xludf.DUMMYFUNCTION("IMPORTRANGE(""https://docs.google.com/spreadsheets/d/1SX6NBoVAgQJ6U1MVXOaj8PK2l7WJ3RER9xtqwdhxkhw/edit?usp=sharing"",""ลพบุรี!I506"")"),100)</f>
        <v>100</v>
      </c>
      <c r="J611" s="162">
        <f ca="1">IFERROR(__xludf.DUMMYFUNCTION("IMPORTRANGE(""https://docs.google.com/spreadsheets/d/1SX6NBoVAgQJ6U1MVXOaj8PK2l7WJ3RER9xtqwdhxkhw/edit?usp=sharing"",""ลพบุรี!J506"")"),0)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IFERROR(__xludf.DUMMYFUNCTION("IMPORTRANGE(""https://docs.google.com/spreadsheets/d/1SX6NBoVAgQJ6U1MVXOaj8PK2l7WJ3RER9xtqwdhxkhw/edit?usp=sharing"",""ลพบุรี!I507"")"),0)</f>
        <v>0</v>
      </c>
      <c r="J612" s="198">
        <f ca="1">IFERROR(__xludf.DUMMYFUNCTION("IMPORTRANGE(""https://docs.google.com/spreadsheets/d/1SX6NBoVAgQJ6U1MVXOaj8PK2l7WJ3RER9xtqwdhxkhw/edit?usp=sharing"",""ลพบุรี!J507"")"),0)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IFERROR(__xludf.DUMMYFUNCTION("IMPORTRANGE(""https://docs.google.com/spreadsheets/d/1SX6NBoVAgQJ6U1MVXOaj8PK2l7WJ3RER9xtqwdhxkhw/edit?usp=sharing"",""ลพบุรี!I508"")"),0)</f>
        <v>0</v>
      </c>
      <c r="J613" s="198">
        <f ca="1">IFERROR(__xludf.DUMMYFUNCTION("IMPORTRANGE(""https://docs.google.com/spreadsheets/d/1SX6NBoVAgQJ6U1MVXOaj8PK2l7WJ3RER9xtqwdhxkhw/edit?usp=sharing"",""ลพบุรี!J508"")"),0)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IFERROR(__xludf.DUMMYFUNCTION("IMPORTRANGE(""https://docs.google.com/spreadsheets/d/1SX6NBoVAgQJ6U1MVXOaj8PK2l7WJ3RER9xtqwdhxkhw/edit?usp=sharing"",""ลพบุรี!I509"")"),0)</f>
        <v>0</v>
      </c>
      <c r="J614" s="198">
        <f ca="1">IFERROR(__xludf.DUMMYFUNCTION("IMPORTRANGE(""https://docs.google.com/spreadsheets/d/1SX6NBoVAgQJ6U1MVXOaj8PK2l7WJ3RER9xtqwdhxkhw/edit?usp=sharing"",""ลพบุรี!J509"")"),0)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IFERROR(__xludf.DUMMYFUNCTION("IMPORTRANGE(""https://docs.google.com/spreadsheets/d/1SX6NBoVAgQJ6U1MVXOaj8PK2l7WJ3RER9xtqwdhxkhw/edit?usp=sharing"",""ลพบุรี!I510"")"),0)</f>
        <v>0</v>
      </c>
      <c r="J615" s="198">
        <f ca="1">IFERROR(__xludf.DUMMYFUNCTION("IMPORTRANGE(""https://docs.google.com/spreadsheets/d/1SX6NBoVAgQJ6U1MVXOaj8PK2l7WJ3RER9xtqwdhxkhw/edit?usp=sharing"",""ลพบุรี!J510"")"),0)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IFERROR(__xludf.DUMMYFUNCTION("IMPORTRANGE(""https://docs.google.com/spreadsheets/d/1SX6NBoVAgQJ6U1MVXOaj8PK2l7WJ3RER9xtqwdhxkhw/edit?usp=sharing"",""ลพบุรี!I511"")"),0)</f>
        <v>0</v>
      </c>
      <c r="J616" s="198">
        <f ca="1">IFERROR(__xludf.DUMMYFUNCTION("IMPORTRANGE(""https://docs.google.com/spreadsheets/d/1SX6NBoVAgQJ6U1MVXOaj8PK2l7WJ3RER9xtqwdhxkhw/edit?usp=sharing"",""ลพบุรี!J511"")"),0)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IFERROR(__xludf.DUMMYFUNCTION("IMPORTRANGE(""https://docs.google.com/spreadsheets/d/1SX6NBoVAgQJ6U1MVXOaj8PK2l7WJ3RER9xtqwdhxkhw/edit?usp=sharing"",""ลพบุรี!I512"")"),0)</f>
        <v>0</v>
      </c>
      <c r="J617" s="188">
        <f ca="1">IFERROR(__xludf.DUMMYFUNCTION("IMPORTRANGE(""https://docs.google.com/spreadsheets/d/1SX6NBoVAgQJ6U1MVXOaj8PK2l7WJ3RER9xtqwdhxkhw/edit?usp=sharing"",""ลพบุรี!J512"")"),0)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IFERROR(__xludf.DUMMYFUNCTION("IMPORTRANGE(""https://docs.google.com/spreadsheets/d/1SX6NBoVAgQJ6U1MVXOaj8PK2l7WJ3RER9xtqwdhxkhw/edit?usp=sharing"",""ลพบุรี!I513"")"),0)</f>
        <v>0</v>
      </c>
      <c r="J618" s="189">
        <f ca="1">IFERROR(__xludf.DUMMYFUNCTION("IMPORTRANGE(""https://docs.google.com/spreadsheets/d/1SX6NBoVAgQJ6U1MVXOaj8PK2l7WJ3RER9xtqwdhxkhw/edit?usp=sharing"",""ลพบุรี!J513"")"),0)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IFERROR(__xludf.DUMMYFUNCTION("IMPORTRANGE(""https://docs.google.com/spreadsheets/d/1SX6NBoVAgQJ6U1MVXOaj8PK2l7WJ3RER9xtqwdhxkhw/edit?usp=sharing"",""ลพบุรี!I514"")"),0)</f>
        <v>0</v>
      </c>
      <c r="J619" s="189">
        <f ca="1">IFERROR(__xludf.DUMMYFUNCTION("IMPORTRANGE(""https://docs.google.com/spreadsheets/d/1SX6NBoVAgQJ6U1MVXOaj8PK2l7WJ3RER9xtqwdhxkhw/edit?usp=sharing"",""ลพบุรี!J514"")"),0)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IFERROR(__xludf.DUMMYFUNCTION("IMPORTRANGE(""https://docs.google.com/spreadsheets/d/1SX6NBoVAgQJ6U1MVXOaj8PK2l7WJ3RER9xtqwdhxkhw/edit?usp=sharing"",""ลพบุรี!I515"")"),760)</f>
        <v>760</v>
      </c>
      <c r="J620" s="203">
        <f ca="1">IFERROR(__xludf.DUMMYFUNCTION("IMPORTRANGE(""https://docs.google.com/spreadsheets/d/1SX6NBoVAgQJ6U1MVXOaj8PK2l7WJ3RER9xtqwdhxkhw/edit?usp=sharing"",""ลพบุรี!J515"")"),0)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IFERROR(__xludf.DUMMYFUNCTION("IMPORTRANGE(""https://docs.google.com/spreadsheets/d/1SX6NBoVAgQJ6U1MVXOaj8PK2l7WJ3RER9xtqwdhxkhw/edit?usp=sharing"",""ลพบุรี!I516"")"),0)</f>
        <v>0</v>
      </c>
      <c r="J621" s="203">
        <f ca="1">IFERROR(__xludf.DUMMYFUNCTION("IMPORTRANGE(""https://docs.google.com/spreadsheets/d/1SX6NBoVAgQJ6U1MVXOaj8PK2l7WJ3RER9xtqwdhxkhw/edit?usp=sharing"",""ลพบุรี!J516"")"),0)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IFERROR(__xludf.DUMMYFUNCTION("IMPORTRANGE(""https://docs.google.com/spreadsheets/d/1SX6NBoVAgQJ6U1MVXOaj8PK2l7WJ3RER9xtqwdhxkhw/edit?usp=sharing"",""ลพบุรี!I517"")"),0)</f>
        <v>0</v>
      </c>
      <c r="J622" s="189">
        <f ca="1">IFERROR(__xludf.DUMMYFUNCTION("IMPORTRANGE(""https://docs.google.com/spreadsheets/d/1SX6NBoVAgQJ6U1MVXOaj8PK2l7WJ3RER9xtqwdhxkhw/edit?usp=sharing"",""ลพบุรี!J517"")"),0)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IFERROR(__xludf.DUMMYFUNCTION("IMPORTRANGE(""https://docs.google.com/spreadsheets/d/1SX6NBoVAgQJ6U1MVXOaj8PK2l7WJ3RER9xtqwdhxkhw/edit?usp=sharing"",""ลพบุรี!I518"")"),0)</f>
        <v>0</v>
      </c>
      <c r="J623" s="189">
        <f ca="1">IFERROR(__xludf.DUMMYFUNCTION("IMPORTRANGE(""https://docs.google.com/spreadsheets/d/1SX6NBoVAgQJ6U1MVXOaj8PK2l7WJ3RER9xtqwdhxkhw/edit?usp=sharing"",""ลพบุรี!J518"")"),0)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IFERROR(__xludf.DUMMYFUNCTION("IMPORTRANGE(""https://docs.google.com/spreadsheets/d/1SX6NBoVAgQJ6U1MVXOaj8PK2l7WJ3RER9xtqwdhxkhw/edit?usp=sharing"",""ลพบุรี!I519"")"),0)</f>
        <v>0</v>
      </c>
      <c r="J624" s="188">
        <f ca="1">IFERROR(__xludf.DUMMYFUNCTION("IMPORTRANGE(""https://docs.google.com/spreadsheets/d/1SX6NBoVAgQJ6U1MVXOaj8PK2l7WJ3RER9xtqwdhxkhw/edit?usp=sharing"",""ลพบุรี!J519"")"),0)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IFERROR(__xludf.DUMMYFUNCTION("IMPORTRANGE(""https://docs.google.com/spreadsheets/d/1SX6NBoVAgQJ6U1MVXOaj8PK2l7WJ3RER9xtqwdhxkhw/edit?usp=sharing"",""ลพบุรี!I520"")"),0)</f>
        <v>0</v>
      </c>
      <c r="J625" s="189">
        <f ca="1">IFERROR(__xludf.DUMMYFUNCTION("IMPORTRANGE(""https://docs.google.com/spreadsheets/d/1SX6NBoVAgQJ6U1MVXOaj8PK2l7WJ3RER9xtqwdhxkhw/edit?usp=sharing"",""ลพบุรี!J520"")"),0)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IFERROR(__xludf.DUMMYFUNCTION("IMPORTRANGE(""https://docs.google.com/spreadsheets/d/1SX6NBoVAgQJ6U1MVXOaj8PK2l7WJ3RER9xtqwdhxkhw/edit?usp=sharing"",""ลพบุรี!I521"")"),0)</f>
        <v>0</v>
      </c>
      <c r="J626" s="189">
        <f ca="1">IFERROR(__xludf.DUMMYFUNCTION("IMPORTRANGE(""https://docs.google.com/spreadsheets/d/1SX6NBoVAgQJ6U1MVXOaj8PK2l7WJ3RER9xtqwdhxkhw/edit?usp=sharing"",""ลพบุรี!J521"")"),0)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2">
        <f ca="1">IFERROR(__xludf.DUMMYFUNCTION("IMPORTRANGE(""https://docs.google.com/spreadsheets/d/1SX6NBoVAgQJ6U1MVXOaj8PK2l7WJ3RER9xtqwdhxkhw/edit?usp=sharing"",""ลพบุรี!J523"")"),7067438.97)</f>
        <v>7067438.9699999997</v>
      </c>
      <c r="K628" s="343">
        <f t="shared" ref="K628:K635" ca="1" si="129">IF(I628&gt;0,J628*100/I628,0)</f>
        <v>64.601883458559669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IFERROR(__xludf.DUMMYFUNCTION("IMPORTRANGE(""https://docs.google.com/spreadsheets/d/1SX6NBoVAgQJ6U1MVXOaj8PK2l7WJ3RER9xtqwdhxkhw/edit?usp=sharing"",""ลพบุรี!I524"")"),387)</f>
        <v>387</v>
      </c>
      <c r="J629" s="342">
        <f ca="1">IFERROR(__xludf.DUMMYFUNCTION("IMPORTRANGE(""https://docs.google.com/spreadsheets/d/1SX6NBoVAgQJ6U1MVXOaj8PK2l7WJ3RER9xtqwdhxkhw/edit?usp=sharing"",""ลพบุรี!J524"")"),256)</f>
        <v>256</v>
      </c>
      <c r="K629" s="343">
        <f t="shared" ca="1" si="129"/>
        <v>66.149870801033586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2">
        <f ca="1">IFERROR(__xludf.DUMMYFUNCTION("IMPORTRANGE(""https://docs.google.com/spreadsheets/d/1SX6NBoVAgQJ6U1MVXOaj8PK2l7WJ3RER9xtqwdhxkhw/edit?usp=sharing"",""ลพบุรี!J525"")"),408113.34)</f>
        <v>408113.34</v>
      </c>
      <c r="K630" s="343">
        <f t="shared" ca="1" si="129"/>
        <v>6.1877112127067102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IFERROR(__xludf.DUMMYFUNCTION("IMPORTRANGE(""https://docs.google.com/spreadsheets/d/1SX6NBoVAgQJ6U1MVXOaj8PK2l7WJ3RER9xtqwdhxkhw/edit?usp=sharing"",""ลพบุรี!I526"")"),307)</f>
        <v>307</v>
      </c>
      <c r="J631" s="342">
        <f ca="1">IFERROR(__xludf.DUMMYFUNCTION("IMPORTRANGE(""https://docs.google.com/spreadsheets/d/1SX6NBoVAgQJ6U1MVXOaj8PK2l7WJ3RER9xtqwdhxkhw/edit?usp=sharing"",""ลพบุรี!J526"")"),46)</f>
        <v>46</v>
      </c>
      <c r="K631" s="343">
        <f t="shared" ca="1" si="129"/>
        <v>14.983713355048859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IFERROR(__xludf.DUMMYFUNCTION("IMPORTRANGE(""https://docs.google.com/spreadsheets/d/1SX6NBoVAgQJ6U1MVXOaj8PK2l7WJ3RER9xtqwdhxkhw/edit?usp=sharing"",""ลพบุรี!I527"")"),10071385.83)</f>
        <v>10071385.83</v>
      </c>
      <c r="J632" s="342">
        <f ca="1">IFERROR(__xludf.DUMMYFUNCTION("IMPORTRANGE(""https://docs.google.com/spreadsheets/d/1SX6NBoVAgQJ6U1MVXOaj8PK2l7WJ3RER9xtqwdhxkhw/edit?usp=sharing"",""ลพบุรี!J527"")"),2425121.87)</f>
        <v>2425121.87</v>
      </c>
      <c r="K632" s="343">
        <f t="shared" ca="1" si="129"/>
        <v>24.07932642969751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IFERROR(__xludf.DUMMYFUNCTION("IMPORTRANGE(""https://docs.google.com/spreadsheets/d/1SX6NBoVAgQJ6U1MVXOaj8PK2l7WJ3RER9xtqwdhxkhw/edit?usp=sharing"",""ลพบุรี!I528"")"),1083)</f>
        <v>1083</v>
      </c>
      <c r="J633" s="342">
        <f ca="1">IFERROR(__xludf.DUMMYFUNCTION("IMPORTRANGE(""https://docs.google.com/spreadsheets/d/1SX6NBoVAgQJ6U1MVXOaj8PK2l7WJ3RER9xtqwdhxkhw/edit?usp=sharing"",""ลพบุรี!J528"")"),515)</f>
        <v>515</v>
      </c>
      <c r="K633" s="343">
        <f t="shared" ca="1" si="129"/>
        <v>47.553093259464454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IFERROR(__xludf.DUMMYFUNCTION("IMPORTRANGE(""https://docs.google.com/spreadsheets/d/1SX6NBoVAgQJ6U1MVXOaj8PK2l7WJ3RER9xtqwdhxkhw/edit?usp=sharing"",""ลพบุรี!I529"")"),10000000)</f>
        <v>10000000</v>
      </c>
      <c r="J634" s="342">
        <f ca="1">IFERROR(__xludf.DUMMYFUNCTION("IMPORTRANGE(""https://docs.google.com/spreadsheets/d/1SX6NBoVAgQJ6U1MVXOaj8PK2l7WJ3RER9xtqwdhxkhw/edit?usp=sharing"",""ลพบุรี!J529"")"),3745000)</f>
        <v>3745000</v>
      </c>
      <c r="K634" s="343">
        <f t="shared" ca="1" si="129"/>
        <v>37.450000000000003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IFERROR(__xludf.DUMMYFUNCTION("IMPORTRANGE(""https://docs.google.com/spreadsheets/d/1SX6NBoVAgQJ6U1MVXOaj8PK2l7WJ3RER9xtqwdhxkhw/edit?usp=sharing"",""ลพบุรี!I530"")"),333)</f>
        <v>333</v>
      </c>
      <c r="J635" s="504">
        <f ca="1">IFERROR(__xludf.DUMMYFUNCTION("IMPORTRANGE(""https://docs.google.com/spreadsheets/d/1SX6NBoVAgQJ6U1MVXOaj8PK2l7WJ3RER9xtqwdhxkhw/edit?usp=sharing"",""ลพบุรี!J530"")"),122)</f>
        <v>122</v>
      </c>
      <c r="K635" s="486">
        <f t="shared" ca="1" si="129"/>
        <v>36.636636636636638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41700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41700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41700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IFERROR(__xludf.DUMMYFUNCTION("IMPORTRANGE(""https://docs.google.com/spreadsheets/d/1SX6NBoVAgQJ6U1MVXOaj8PK2l7WJ3RER9xtqwdhxkhw/edit#gid=346597447"",""ลพบุรี!J541"")"),0)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IFERROR(__xludf.DUMMYFUNCTION("IMPORTRANGE(""https://docs.google.com/spreadsheets/d/1SX6NBoVAgQJ6U1MVXOaj8PK2l7WJ3RER9xtqwdhxkhw/edit#gid=346597447"",""ลพบุรี!J542"")"),0)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IFERROR(__xludf.DUMMYFUNCTION("IMPORTRANGE(""https://docs.google.com/spreadsheets/d/1SX6NBoVAgQJ6U1MVXOaj8PK2l7WJ3RER9xtqwdhxkhw/edit#gid=346597447"",""ลพบุรี!I543"")"),227)</f>
        <v>227</v>
      </c>
      <c r="J648" s="536">
        <f ca="1">IFERROR(__xludf.DUMMYFUNCTION("IMPORTRANGE(""https://docs.google.com/spreadsheets/d/1SX6NBoVAgQJ6U1MVXOaj8PK2l7WJ3RER9xtqwdhxkhw/edit#gid=346597447"",""ลพบุรี!J543"")"),0)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IFERROR(__xludf.DUMMYFUNCTION("IMPORTRANGE(""https://docs.google.com/spreadsheets/d/1SX6NBoVAgQJ6U1MVXOaj8PK2l7WJ3RER9xtqwdhxkhw/edit#gid=346597447"",""ลพบุรี!L543"")"),18160)</f>
        <v>18160</v>
      </c>
      <c r="M648" s="521"/>
      <c r="N648" s="538">
        <f ca="1">IFERROR(__xludf.DUMMYFUNCTION("IMPORTRANGE(""https://docs.google.com/spreadsheets/d/1SX6NBoVAgQJ6U1MVXOaj8PK2l7WJ3RER9xtqwdhxkhw/edit#gid=346597447"",""ลพบุรี!M543"")"),0)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IFERROR(__xludf.DUMMYFUNCTION("IMPORTRANGE(""https://docs.google.com/spreadsheets/d/1SX6NBoVAgQJ6U1MVXOaj8PK2l7WJ3RER9xtqwdhxkhw/edit#gid=346597447"",""ลพบุรี!I544"")"),3)</f>
        <v>3</v>
      </c>
      <c r="J649" s="536">
        <f ca="1">IFERROR(__xludf.DUMMYFUNCTION("IMPORTRANGE(""https://docs.google.com/spreadsheets/d/1SX6NBoVAgQJ6U1MVXOaj8PK2l7WJ3RER9xtqwdhxkhw/edit#gid=346597447"",""ลพบุรี!J544"")"),0)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IFERROR(__xludf.DUMMYFUNCTION("IMPORTRANGE(""https://docs.google.com/spreadsheets/d/1SX6NBoVAgQJ6U1MVXOaj8PK2l7WJ3RER9xtqwdhxkhw/edit#gid=346597447"",""ลพบุรี!L544"")"),360)</f>
        <v>360</v>
      </c>
      <c r="M649" s="521"/>
      <c r="N649" s="538">
        <f ca="1">IFERROR(__xludf.DUMMYFUNCTION("IMPORTRANGE(""https://docs.google.com/spreadsheets/d/1SX6NBoVAgQJ6U1MVXOaj8PK2l7WJ3RER9xtqwdhxkhw/edit#gid=346597447"",""ลพบุรี!M544"")"),0)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IFERROR(__xludf.DUMMYFUNCTION("IMPORTRANGE(""https://docs.google.com/spreadsheets/d/1SX6NBoVAgQJ6U1MVXOaj8PK2l7WJ3RER9xtqwdhxkhw/edit#gid=346597447"",""ลพบุรี!I545"")"),50)</f>
        <v>50</v>
      </c>
      <c r="J650" s="536">
        <f ca="1">IFERROR(__xludf.DUMMYFUNCTION("IMPORTRANGE(""https://docs.google.com/spreadsheets/d/1SX6NBoVAgQJ6U1MVXOaj8PK2l7WJ3RER9xtqwdhxkhw/edit#gid=346597447"",""ลพบุรี!J545"")"),0)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IFERROR(__xludf.DUMMYFUNCTION("IMPORTRANGE(""https://docs.google.com/spreadsheets/d/1SX6NBoVAgQJ6U1MVXOaj8PK2l7WJ3RER9xtqwdhxkhw/edit#gid=346597447"",""ลพบุรี!L545"")"),250)</f>
        <v>250</v>
      </c>
      <c r="M650" s="521"/>
      <c r="N650" s="538">
        <f ca="1">IFERROR(__xludf.DUMMYFUNCTION("IMPORTRANGE(""https://docs.google.com/spreadsheets/d/1SX6NBoVAgQJ6U1MVXOaj8PK2l7WJ3RER9xtqwdhxkhw/edit#gid=346597447"",""ลพบุรี!M545"")"),0)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IFERROR(__xludf.DUMMYFUNCTION("IMPORTRANGE(""https://docs.google.com/spreadsheets/d/1SX6NBoVAgQJ6U1MVXOaj8PK2l7WJ3RER9xtqwdhxkhw/edit#gid=346597447"",""ลพบุรี!I546"")"),50)</f>
        <v>50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IFERROR(__xludf.DUMMYFUNCTION("IMPORTRANGE(""https://docs.google.com/spreadsheets/d/1SX6NBoVAgQJ6U1MVXOaj8PK2l7WJ3RER9xtqwdhxkhw/edit#gid=346597447"",""ลพบุรี!L546"")"),1250)</f>
        <v>1250</v>
      </c>
      <c r="M651" s="521"/>
      <c r="N651" s="538">
        <f ca="1">IFERROR(__xludf.DUMMYFUNCTION("IMPORTRANGE(""https://docs.google.com/spreadsheets/d/1SX6NBoVAgQJ6U1MVXOaj8PK2l7WJ3RER9xtqwdhxkhw/edit#gid=346597447"",""ลพบุรี!M546"")"),0)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IFERROR(__xludf.DUMMYFUNCTION("IMPORTRANGE(""https://docs.google.com/spreadsheets/d/1SX6NBoVAgQJ6U1MVXOaj8PK2l7WJ3RER9xtqwdhxkhw/edit#gid=346597447"",""ลพบุรี!J547"")"),0)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IFERROR(__xludf.DUMMYFUNCTION("IMPORTRANGE(""https://docs.google.com/spreadsheets/d/1SX6NBoVAgQJ6U1MVXOaj8PK2l7WJ3RER9xtqwdhxkhw/edit#gid=346597447"",""ลพบุรี!J548"")"),0)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IFERROR(__xludf.DUMMYFUNCTION("IMPORTRANGE(""https://docs.google.com/spreadsheets/d/1SX6NBoVAgQJ6U1MVXOaj8PK2l7WJ3RER9xtqwdhxkhw/edit#gid=346597447"",""ลพบุรี!J550"")"),0)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IFERROR(__xludf.DUMMYFUNCTION("IMPORTRANGE(""https://docs.google.com/spreadsheets/d/1SX6NBoVAgQJ6U1MVXOaj8PK2l7WJ3RER9xtqwdhxkhw/edit#gid=346597447"",""ลพบุรี!J551"")"),0)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IFERROR(__xludf.DUMMYFUNCTION("IMPORTRANGE(""https://docs.google.com/spreadsheets/d/1SX6NBoVAgQJ6U1MVXOaj8PK2l7WJ3RER9xtqwdhxkhw/edit#gid=346597447"",""ลพบุรี!J552"")"),0)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IFERROR(__xludf.DUMMYFUNCTION("IMPORTRANGE(""https://docs.google.com/spreadsheets/d/1SX6NBoVAgQJ6U1MVXOaj8PK2l7WJ3RER9xtqwdhxkhw/edit#gid=346597447"",""ลพบุรี!J553"")"),0)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IFERROR(__xludf.DUMMYFUNCTION("IMPORTRANGE(""https://docs.google.com/spreadsheets/d/1SX6NBoVAgQJ6U1MVXOaj8PK2l7WJ3RER9xtqwdhxkhw/edit#gid=346597447"",""ลพบุรี!J554"")"),0)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IFERROR(__xludf.DUMMYFUNCTION("IMPORTRANGE(""https://docs.google.com/spreadsheets/d/1SX6NBoVAgQJ6U1MVXOaj8PK2l7WJ3RER9xtqwdhxkhw/edit#gid=346597447"",""ลพบุรี!J555"")"),0)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IFERROR(__xludf.DUMMYFUNCTION("IMPORTRANGE(""https://docs.google.com/spreadsheets/d/1SX6NBoVAgQJ6U1MVXOaj8PK2l7WJ3RER9xtqwdhxkhw/edit#gid=346597447"",""ลพบุรี!J556"")"),0)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IFERROR(__xludf.DUMMYFUNCTION("IMPORTRANGE(""https://docs.google.com/spreadsheets/d/1SX6NBoVAgQJ6U1MVXOaj8PK2l7WJ3RER9xtqwdhxkhw/edit#gid=346597447"",""ลพบุรี!L556"")"),20000)</f>
        <v>20000</v>
      </c>
      <c r="M661" s="521"/>
      <c r="N661" s="538">
        <f ca="1">IFERROR(__xludf.DUMMYFUNCTION("IMPORTRANGE(""https://docs.google.com/spreadsheets/d/1SX6NBoVAgQJ6U1MVXOaj8PK2l7WJ3RER9xtqwdhxkhw/edit#gid=346597447"",""ลพบุรี!M556"")"),0)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IFERROR(__xludf.DUMMYFUNCTION("IMPORTRANGE(""https://docs.google.com/spreadsheets/d/1SX6NBoVAgQJ6U1MVXOaj8PK2l7WJ3RER9xtqwdhxkhw/edit#gid=346597447"",""ลพบุรี!J557"")"),0)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IFERROR(__xludf.DUMMYFUNCTION("IMPORTRANGE(""https://docs.google.com/spreadsheets/d/1SX6NBoVAgQJ6U1MVXOaj8PK2l7WJ3RER9xtqwdhxkhw/edit#gid=346597447"",""ลพบุรี!I558"")"),500)</f>
        <v>500</v>
      </c>
      <c r="J663" s="536">
        <f ca="1">IFERROR(__xludf.DUMMYFUNCTION("IMPORTRANGE(""https://docs.google.com/spreadsheets/d/1SX6NBoVAgQJ6U1MVXOaj8PK2l7WJ3RER9xtqwdhxkhw/edit#gid=346597447"",""ลพบุรี!J558"")"),0)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IFERROR(__xludf.DUMMYFUNCTION("IMPORTRANGE(""https://docs.google.com/spreadsheets/d/1SX6NBoVAgQJ6U1MVXOaj8PK2l7WJ3RER9xtqwdhxkhw/edit#gid=346597447"",""ลพบุรี!I560"")"),10)</f>
        <v>10</v>
      </c>
      <c r="J665" s="536">
        <f ca="1">IFERROR(__xludf.DUMMYFUNCTION("IMPORTRANGE(""https://docs.google.com/spreadsheets/d/1SX6NBoVAgQJ6U1MVXOaj8PK2l7WJ3RER9xtqwdhxkhw/edit#gid=346597447"",""ลพบุรี!J560"")"),0)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IFERROR(__xludf.DUMMYFUNCTION("IMPORTRANGE(""https://docs.google.com/spreadsheets/d/1SX6NBoVAgQJ6U1MVXOaj8PK2l7WJ3RER9xtqwdhxkhw/edit#gid=346597447"",""ลพบุรี!L560"")"),1200)</f>
        <v>1200</v>
      </c>
      <c r="M665" s="521"/>
      <c r="N665" s="538">
        <f ca="1">IFERROR(__xludf.DUMMYFUNCTION("IMPORTRANGE(""https://docs.google.com/spreadsheets/d/1SX6NBoVAgQJ6U1MVXOaj8PK2l7WJ3RER9xtqwdhxkhw/edit#gid=346597447"",""ลพบุรี!M560"")"),0)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IFERROR(__xludf.DUMMYFUNCTION("IMPORTRANGE(""https://docs.google.com/spreadsheets/d/1SX6NBoVAgQJ6U1MVXOaj8PK2l7WJ3RER9xtqwdhxkhw/edit#gid=346597447"",""ลพบุรี!J561"")"),0)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IFERROR(__xludf.DUMMYFUNCTION("IMPORTRANGE(""https://docs.google.com/spreadsheets/d/1SX6NBoVAgQJ6U1MVXOaj8PK2l7WJ3RER9xtqwdhxkhw/edit#gid=346597447"",""ลพบุรี!J562"")"),0)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IFERROR(__xludf.DUMMYFUNCTION("IMPORTRANGE(""https://docs.google.com/spreadsheets/d/1SX6NBoVAgQJ6U1MVXOaj8PK2l7WJ3RER9xtqwdhxkhw/edit#gid=346597447"",""ลพบุรี!I563"")"),0)</f>
        <v>0</v>
      </c>
      <c r="J668" s="536">
        <f ca="1">IFERROR(__xludf.DUMMYFUNCTION("IMPORTRANGE(""https://docs.google.com/spreadsheets/d/1SX6NBoVAgQJ6U1MVXOaj8PK2l7WJ3RER9xtqwdhxkhw/edit#gid=346597447"",""ลพบุรี!J563"")"),0)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IFERROR(__xludf.DUMMYFUNCTION("IMPORTRANGE(""https://docs.google.com/spreadsheets/d/1SX6NBoVAgQJ6U1MVXOaj8PK2l7WJ3RER9xtqwdhxkhw/edit#gid=346597447"",""ลพบุรี!L563"")"),0)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IFERROR(__xludf.DUMMYFUNCTION("IMPORTRANGE(""https://docs.google.com/spreadsheets/d/1SX6NBoVAgQJ6U1MVXOaj8PK2l7WJ3RER9xtqwdhxkhw/edit#gid=346597447"",""ลพบุรี!M563"")"),0)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IFERROR(__xludf.DUMMYFUNCTION("IMPORTRANGE(""https://docs.google.com/spreadsheets/d/1SX6NBoVAgQJ6U1MVXOaj8PK2l7WJ3RER9xtqwdhxkhw/edit#gid=346597447"",""ลพบุรี!J564"")"),0)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IFERROR(__xludf.DUMMYFUNCTION("IMPORTRANGE(""https://docs.google.com/spreadsheets/d/1SX6NBoVAgQJ6U1MVXOaj8PK2l7WJ3RER9xtqwdhxkhw/edit#gid=346597447"",""ลพบุรี!J565"")"),0)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IFERROR(__xludf.DUMMYFUNCTION("IMPORTRANGE(""https://docs.google.com/spreadsheets/d/1SX6NBoVAgQJ6U1MVXOaj8PK2l7WJ3RER9xtqwdhxkhw/edit#gid=346597447"",""ลพบุรี!I566"")"),6)</f>
        <v>6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IFERROR(__xludf.DUMMYFUNCTION("IMPORTRANGE(""https://docs.google.com/spreadsheets/d/1SX6NBoVAgQJ6U1MVXOaj8PK2l7WJ3RER9xtqwdhxkhw/edit#gid=346597447"",""ลพบุรี!L566"")"),480)</f>
        <v>480</v>
      </c>
      <c r="M671" s="521"/>
      <c r="N671" s="538">
        <f ca="1">IFERROR(__xludf.DUMMYFUNCTION("IMPORTRANGE(""https://docs.google.com/spreadsheets/d/1SX6NBoVAgQJ6U1MVXOaj8PK2l7WJ3RER9xtqwdhxkhw/edit#gid=346597447"",""ลพบุรี!M566"")"),0)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IFERROR(__xludf.DUMMYFUNCTION("IMPORTRANGE(""https://docs.google.com/spreadsheets/d/1SX6NBoVAgQJ6U1MVXOaj8PK2l7WJ3RER9xtqwdhxkhw/edit#gid=346597447"",""ลพบุรี!J567"")"),0)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IFERROR(__xludf.DUMMYFUNCTION("IMPORTRANGE(""https://docs.google.com/spreadsheets/d/1SX6NBoVAgQJ6U1MVXOaj8PK2l7WJ3RER9xtqwdhxkhw/edit#gid=346597447"",""ลพบุรี!J568"")"),0)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IFERROR(__xludf.DUMMYFUNCTION("IMPORTRANGE(""https://docs.google.com/spreadsheets/d/1SX6NBoVAgQJ6U1MVXOaj8PK2l7WJ3RER9xtqwdhxkhw/edit#gid=346597447"",""ลพบุรี!J569"")"),0)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IFERROR(__xludf.DUMMYFUNCTION("IMPORTRANGE(""https://docs.google.com/spreadsheets/d/1SX6NBoVAgQJ6U1MVXOaj8PK2l7WJ3RER9xtqwdhxkhw/edit#gid=346597447"",""ลพบุรี!J570"")"),0)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IFERROR(__xludf.DUMMYFUNCTION("IMPORTRANGE(""https://docs.google.com/spreadsheets/d/1SX6NBoVAgQJ6U1MVXOaj8PK2l7WJ3RER9xtqwdhxkhw/edit#gid=346597447"",""ลพบุรี!J571"")"),0)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IFERROR(__xludf.DUMMYFUNCTION("IMPORTRANGE(""https://docs.google.com/spreadsheets/d/1SX6NBoVAgQJ6U1MVXOaj8PK2l7WJ3RER9xtqwdhxkhw/edit#gid=346597447"",""ลพบุรี!J572"")"),0)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292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7575053</v>
      </c>
      <c r="M8" s="23">
        <f t="shared" ca="1" si="0"/>
        <v>3942368.84</v>
      </c>
      <c r="N8" s="23">
        <f t="shared" ca="1" si="0"/>
        <v>4228875.62</v>
      </c>
      <c r="O8" s="22">
        <f t="shared" ref="O8:O16" ca="1" si="1">IF(L8&gt;0,N8*100/L8,0)</f>
        <v>55.826350257879383</v>
      </c>
      <c r="P8" s="22">
        <f t="shared" ref="P8:P16" ca="1" si="2">IF(M8&gt;0,N8*100/M8,0)</f>
        <v>107.26737633204306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7575053</v>
      </c>
      <c r="M10" s="30">
        <f t="shared" ca="1" si="4"/>
        <v>3942368.84</v>
      </c>
      <c r="N10" s="30">
        <f t="shared" ca="1" si="4"/>
        <v>4228875.62</v>
      </c>
      <c r="O10" s="29">
        <f t="shared" ca="1" si="1"/>
        <v>55.826350257879383</v>
      </c>
      <c r="P10" s="29">
        <f t="shared" ca="1" si="2"/>
        <v>107.26737633204306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7380053</v>
      </c>
      <c r="M12" s="38">
        <f t="shared" ca="1" si="6"/>
        <v>3747368.84</v>
      </c>
      <c r="N12" s="38">
        <f t="shared" ca="1" si="6"/>
        <v>4033875.62</v>
      </c>
      <c r="O12" s="38">
        <f t="shared" ca="1" si="1"/>
        <v>54.659168707867003</v>
      </c>
      <c r="P12" s="38">
        <f t="shared" ca="1" si="2"/>
        <v>107.64554524075085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1924400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5455653</v>
      </c>
      <c r="M14" s="38">
        <f t="shared" si="8"/>
        <v>0</v>
      </c>
      <c r="N14" s="38">
        <f t="shared" ca="1" si="8"/>
        <v>1104031.6499999999</v>
      </c>
      <c r="O14" s="38">
        <f t="shared" ca="1" si="1"/>
        <v>20.236471234515829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4721775</v>
      </c>
      <c r="M18" s="23">
        <f t="shared" ca="1" si="11"/>
        <v>3942368.84</v>
      </c>
      <c r="N18" s="23">
        <f t="shared" ca="1" si="11"/>
        <v>3124843.97</v>
      </c>
      <c r="O18" s="22">
        <f t="shared" ref="O18:O20" ca="1" si="12">IF(L18&gt;0,N18*100/L18,0)</f>
        <v>66.1794340052205</v>
      </c>
      <c r="P18" s="22">
        <f t="shared" ref="P18:P26" ca="1" si="13">IF(M18&gt;0,N18*100/M18,0)</f>
        <v>79.263105427750901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4721775</v>
      </c>
      <c r="M20" s="30">
        <f t="shared" ca="1" si="15"/>
        <v>3942368.84</v>
      </c>
      <c r="N20" s="30">
        <f t="shared" ca="1" si="15"/>
        <v>3124843.97</v>
      </c>
      <c r="O20" s="29">
        <f t="shared" ca="1" si="12"/>
        <v>66.1794340052205</v>
      </c>
      <c r="P20" s="29">
        <f t="shared" ca="1" si="13"/>
        <v>79.263105427750901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4526775</v>
      </c>
      <c r="M22" s="41">
        <f t="shared" ca="1" si="18"/>
        <v>3747368.84</v>
      </c>
      <c r="N22" s="38">
        <f t="shared" ca="1" si="18"/>
        <v>2929843.97</v>
      </c>
      <c r="O22" s="38">
        <f t="shared" ca="1" si="17"/>
        <v>64.722544637186516</v>
      </c>
      <c r="P22" s="38">
        <f t="shared" ca="1" si="13"/>
        <v>78.184029784482064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1924400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2602375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2853278</v>
      </c>
      <c r="M28" s="23">
        <f t="shared" si="23"/>
        <v>0</v>
      </c>
      <c r="N28" s="23">
        <f t="shared" ca="1" si="23"/>
        <v>1104031.6499999999</v>
      </c>
      <c r="O28" s="22">
        <f t="shared" ref="O28:O30" ca="1" si="24">IF(L28&gt;0,N28*100/L28,0)</f>
        <v>38.693448377620399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2853278</v>
      </c>
      <c r="M30" s="30">
        <f t="shared" si="27"/>
        <v>0</v>
      </c>
      <c r="N30" s="30">
        <f t="shared" ca="1" si="27"/>
        <v>1104031.6499999999</v>
      </c>
      <c r="O30" s="29">
        <f t="shared" ca="1" si="24"/>
        <v>38.693448377620399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2853278</v>
      </c>
      <c r="M32" s="38">
        <f t="shared" si="30"/>
        <v>0</v>
      </c>
      <c r="N32" s="38">
        <f t="shared" ca="1" si="30"/>
        <v>1104031.6499999999</v>
      </c>
      <c r="O32" s="38">
        <f t="shared" ca="1" si="29"/>
        <v>38.693448377620399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2853278</v>
      </c>
      <c r="M34" s="38">
        <f t="shared" si="32"/>
        <v>0</v>
      </c>
      <c r="N34" s="38">
        <f t="shared" ca="1" si="32"/>
        <v>1104031.6499999999</v>
      </c>
      <c r="O34" s="38">
        <f t="shared" ca="1" si="29"/>
        <v>38.693448377620399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4721775</v>
      </c>
      <c r="M37" s="54">
        <f t="shared" ca="1" si="33"/>
        <v>3942368.84</v>
      </c>
      <c r="N37" s="54">
        <f t="shared" ca="1" si="33"/>
        <v>3124843.97</v>
      </c>
      <c r="O37" s="55">
        <f t="shared" ca="1" si="29"/>
        <v>66.1794340052205</v>
      </c>
      <c r="P37" s="55">
        <f t="shared" ca="1" si="25"/>
        <v>79.263105427750901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680200</v>
      </c>
      <c r="N41" s="78">
        <f t="shared" ca="1" si="34"/>
        <v>596787.04</v>
      </c>
      <c r="O41" s="77">
        <f t="shared" ref="O41:O43" ca="1" si="35">IF(L41&gt;0,N41*100/L41,0)</f>
        <v>65.805164847281944</v>
      </c>
      <c r="P41" s="77">
        <f t="shared" ref="P41:P43" ca="1" si="36">IF(M41&gt;0,N41*100/M41,0)</f>
        <v>87.736995001470149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680200</v>
      </c>
      <c r="N43" s="78">
        <f t="shared" ca="1" si="38"/>
        <v>596787.04</v>
      </c>
      <c r="O43" s="77">
        <f t="shared" ca="1" si="35"/>
        <v>65.805164847281944</v>
      </c>
      <c r="P43" s="77">
        <f t="shared" ca="1" si="36"/>
        <v>87.736995001470149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IFERROR(__xludf.DUMMYFUNCTION("IMPORTRANGE(""https://docs.google.com/spreadsheets/d/1Yj_ptqi66GCucihVvJfMjLAmec39IyEx_6qawtMGysU/edit?usp=sharing"",""สบก!Q75"")"),680200)</f>
        <v>680200</v>
      </c>
      <c r="N45" s="49">
        <f ca="1">IFERROR(__xludf.DUMMYFUNCTION("IMPORTRANGE(""https://docs.google.com/spreadsheets/d/1Yj_ptqi66GCucihVvJfMjLAmec39IyEx_6qawtMGysU/edit?usp=sharing"",""สบก!R75"")"),596787.04)</f>
        <v>596787.04</v>
      </c>
      <c r="O45" s="38">
        <f ca="1">IF(L45&gt;0,N45*100/L45,0)</f>
        <v>65.805164847281944</v>
      </c>
      <c r="P45" s="38">
        <f ca="1">IF(M45&gt;0,N45*100/M45,0)</f>
        <v>87.736995001470149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327168.84000000003</v>
      </c>
      <c r="N53" s="121">
        <f t="shared" ca="1" si="39"/>
        <v>304227.28000000003</v>
      </c>
      <c r="O53" s="120">
        <f t="shared" ref="O53:O55" ca="1" si="40">IF(L53&gt;0,N53*100/L53,0)</f>
        <v>76.056820000000016</v>
      </c>
      <c r="P53" s="120">
        <f t="shared" ref="P53:P55" ca="1" si="41">IF(M53&gt;0,N53*100/M53,0)</f>
        <v>92.987852999692763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327168.84000000003</v>
      </c>
      <c r="N55" s="121">
        <f t="shared" ca="1" si="43"/>
        <v>304227.28000000003</v>
      </c>
      <c r="O55" s="120">
        <f t="shared" ca="1" si="40"/>
        <v>76.056820000000016</v>
      </c>
      <c r="P55" s="120">
        <f t="shared" ca="1" si="41"/>
        <v>92.987852999692763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IFERROR(__xludf.DUMMYFUNCTION("IMPORTRANGE(""https://docs.google.com/spreadsheets/d/1Yj_ptqi66GCucihVvJfMjLAmec39IyEx_6qawtMGysU/edit?usp=sharing"",""สบก!Z75"")"),327168.84)</f>
        <v>327168.84000000003</v>
      </c>
      <c r="N57" s="49">
        <f ca="1">IFERROR(__xludf.DUMMYFUNCTION("IMPORTRANGE(""https://docs.google.com/spreadsheets/d/1Yj_ptqi66GCucihVvJfMjLAmec39IyEx_6qawtMGysU/edit?usp=sharing"",""สบก!AA75"")"),304227.28)</f>
        <v>304227.28000000003</v>
      </c>
      <c r="O57" s="38">
        <f ca="1">IF(L57&gt;0,N57*100/L57,0)</f>
        <v>76.056820000000016</v>
      </c>
      <c r="P57" s="38">
        <f ca="1">IF(M57&gt;0,N57*100/M57,0)</f>
        <v>92.987852999692763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827500</v>
      </c>
      <c r="M66" s="152">
        <f t="shared" ca="1" si="45"/>
        <v>710220</v>
      </c>
      <c r="N66" s="152">
        <f t="shared" ca="1" si="45"/>
        <v>457629.46</v>
      </c>
      <c r="O66" s="151">
        <f t="shared" ref="O66:O68" ca="1" si="46">IF(L66&gt;0,N66*100/L66,0)</f>
        <v>55.302653776435044</v>
      </c>
      <c r="P66" s="151">
        <f t="shared" ref="P66:P68" ca="1" si="47">IF(M66&gt;0,N66*100/M66,0)</f>
        <v>64.434887781250879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827500</v>
      </c>
      <c r="M68" s="157">
        <f t="shared" ca="1" si="49"/>
        <v>710220</v>
      </c>
      <c r="N68" s="157">
        <f t="shared" ca="1" si="49"/>
        <v>457629.46</v>
      </c>
      <c r="O68" s="156">
        <f t="shared" ca="1" si="46"/>
        <v>55.302653776435044</v>
      </c>
      <c r="P68" s="156">
        <f t="shared" ca="1" si="47"/>
        <v>64.434887781250879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779500</v>
      </c>
      <c r="M70" s="168">
        <f ca="1">IFERROR(__xludf.DUMMYFUNCTION("IMPORTRANGE(""https://docs.google.com/spreadsheets/d/1Yj_ptqi66GCucihVvJfMjLAmec39IyEx_6qawtMGysU/edit?usp=sharing"",""สบก!AI75"")"),662220)</f>
        <v>662220</v>
      </c>
      <c r="N70" s="169">
        <f ca="1">IFERROR(__xludf.DUMMYFUNCTION("IMPORTRANGE(""https://docs.google.com/spreadsheets/d/1Yj_ptqi66GCucihVvJfMjLAmec39IyEx_6qawtMGysU/edit?usp=sharing"",""สบก!AJ75"")"),409629.46)</f>
        <v>409629.46</v>
      </c>
      <c r="O70" s="169">
        <f ca="1">IF(L70&gt;0,N70*100/L70,0)</f>
        <v>52.550283515073765</v>
      </c>
      <c r="P70" s="169">
        <f ca="1">IF(M70&gt;0,N70*100/M70,0)</f>
        <v>61.85700522484975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IFERROR(__xludf.DUMMYFUNCTION("IMPORTRANGE(""https://docs.google.com/spreadsheets/d/1Yj_ptqi66GCucihVvJfMjLAmec39IyEx_6qawtMGysU/edit?usp=sharing"",""สบก!AE75"")"),179500)</f>
        <v>179500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IFERROR(__xludf.DUMMYFUNCTION("IMPORTRANGE(""https://docs.google.com/spreadsheets/d/1Yj_ptqi66GCucihVvJfMjLAmec39IyEx_6qawtMGysU/edit?usp=sharing"",""สบก!AF75"")"),600000)</f>
        <v>600000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IFERROR(__xludf.DUMMYFUNCTION("IMPORTRANGE(""https://docs.google.com/spreadsheets/d/1SX6NBoVAgQJ6U1MVXOaj8PK2l7WJ3RER9xtqwdhxkhw/edit?usp=sharing"",""สระแก้ว!J16"")"),0)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IFERROR(__xludf.DUMMYFUNCTION("IMPORTRANGE(""https://docs.google.com/spreadsheets/d/1SX6NBoVAgQJ6U1MVXOaj8PK2l7WJ3RER9xtqwdhxkhw/edit?usp=sharing"",""สระแก้ว!J17"")"),1)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IFERROR(__xludf.DUMMYFUNCTION("IMPORTRANGE(""https://docs.google.com/spreadsheets/d/1SX6NBoVAgQJ6U1MVXOaj8PK2l7WJ3RER9xtqwdhxkhw/edit?usp=sharing"",""สระแก้ว!J18"")"),1)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IFERROR(__xludf.DUMMYFUNCTION("IMPORTRANGE(""https://docs.google.com/spreadsheets/d/1SX6NBoVAgQJ6U1MVXOaj8PK2l7WJ3RER9xtqwdhxkhw/edit?usp=sharing"",""สระแก้ว!J19"")"),1)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IFERROR(__xludf.DUMMYFUNCTION("IMPORTRANGE(""https://docs.google.com/spreadsheets/d/1SX6NBoVAgQJ6U1MVXOaj8PK2l7WJ3RER9xtqwdhxkhw/edit?usp=sharing"",""สระแก้ว!I20"")"),1)</f>
        <v>1</v>
      </c>
      <c r="J80" s="201">
        <f ca="1">IFERROR(__xludf.DUMMYFUNCTION("IMPORTRANGE(""https://docs.google.com/spreadsheets/d/1SX6NBoVAgQJ6U1MVXOaj8PK2l7WJ3RER9xtqwdhxkhw/edit?usp=sharing"",""สระแก้ว!J20"")"),1)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IFERROR(__xludf.DUMMYFUNCTION("IMPORTRANGE(""https://docs.google.com/spreadsheets/d/1SX6NBoVAgQJ6U1MVXOaj8PK2l7WJ3RER9xtqwdhxkhw/edit?usp=sharing"",""สระแก้ว!I21"")"),70)</f>
        <v>70</v>
      </c>
      <c r="J81" s="201">
        <f ca="1">IFERROR(__xludf.DUMMYFUNCTION("IMPORTRANGE(""https://docs.google.com/spreadsheets/d/1SX6NBoVAgQJ6U1MVXOaj8PK2l7WJ3RER9xtqwdhxkhw/edit?usp=sharing"",""สระแก้ว!J21"")"),70)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IFERROR(__xludf.DUMMYFUNCTION("IMPORTRANGE(""https://docs.google.com/spreadsheets/d/1SX6NBoVAgQJ6U1MVXOaj8PK2l7WJ3RER9xtqwdhxkhw/edit?usp=sharing"",""สระแก้ว!I22"")"),1)</f>
        <v>1</v>
      </c>
      <c r="J82" s="204">
        <f ca="1">IFERROR(__xludf.DUMMYFUNCTION("IMPORTRANGE(""https://docs.google.com/spreadsheets/d/1SX6NBoVAgQJ6U1MVXOaj8PK2l7WJ3RER9xtqwdhxkhw/edit?usp=sharing"",""สระแก้ว!J22"")"),1)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IFERROR(__xludf.DUMMYFUNCTION("IMPORTRANGE(""https://docs.google.com/spreadsheets/d/1SX6NBoVAgQJ6U1MVXOaj8PK2l7WJ3RER9xtqwdhxkhw/edit?usp=sharing"",""สระแก้ว!I23"")"),70)</f>
        <v>70</v>
      </c>
      <c r="J83" s="204">
        <f ca="1">IFERROR(__xludf.DUMMYFUNCTION("IMPORTRANGE(""https://docs.google.com/spreadsheets/d/1SX6NBoVAgQJ6U1MVXOaj8PK2l7WJ3RER9xtqwdhxkhw/edit?usp=sharing"",""สระแก้ว!J23"")"),70)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IFERROR(__xludf.DUMMYFUNCTION("IMPORTRANGE(""https://docs.google.com/spreadsheets/d/1SX6NBoVAgQJ6U1MVXOaj8PK2l7WJ3RER9xtqwdhxkhw/edit?usp=sharing"",""สระแก้ว!I24"")"),0)</f>
        <v>0</v>
      </c>
      <c r="J84" s="189">
        <f ca="1">IFERROR(__xludf.DUMMYFUNCTION("IMPORTRANGE(""https://docs.google.com/spreadsheets/d/1SX6NBoVAgQJ6U1MVXOaj8PK2l7WJ3RER9xtqwdhxkhw/edit?usp=sharing"",""สระแก้ว!J24"")"),0)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IFERROR(__xludf.DUMMYFUNCTION("IMPORTRANGE(""https://docs.google.com/spreadsheets/d/1SX6NBoVAgQJ6U1MVXOaj8PK2l7WJ3RER9xtqwdhxkhw/edit?usp=sharing"",""สระแก้ว!I25"")"),0)</f>
        <v>0</v>
      </c>
      <c r="J85" s="189">
        <f ca="1">IFERROR(__xludf.DUMMYFUNCTION("IMPORTRANGE(""https://docs.google.com/spreadsheets/d/1SX6NBoVAgQJ6U1MVXOaj8PK2l7WJ3RER9xtqwdhxkhw/edit?usp=sharing"",""สระแก้ว!J25"")"),0)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IFERROR(__xludf.DUMMYFUNCTION("IMPORTRANGE(""https://docs.google.com/spreadsheets/d/1SX6NBoVAgQJ6U1MVXOaj8PK2l7WJ3RER9xtqwdhxkhw/edit?usp=sharing"",""สระแก้ว!I26"")"),0)</f>
        <v>0</v>
      </c>
      <c r="J86" s="204">
        <f ca="1">IFERROR(__xludf.DUMMYFUNCTION("IMPORTRANGE(""https://docs.google.com/spreadsheets/d/1SX6NBoVAgQJ6U1MVXOaj8PK2l7WJ3RER9xtqwdhxkhw/edit?usp=sharing"",""สระแก้ว!J26"")"),0)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IFERROR(__xludf.DUMMYFUNCTION("IMPORTRANGE(""https://docs.google.com/spreadsheets/d/1SX6NBoVAgQJ6U1MVXOaj8PK2l7WJ3RER9xtqwdhxkhw/edit?usp=sharing"",""สระแก้ว!I27"")"),0)</f>
        <v>0</v>
      </c>
      <c r="J87" s="204">
        <f ca="1">IFERROR(__xludf.DUMMYFUNCTION("IMPORTRANGE(""https://docs.google.com/spreadsheets/d/1SX6NBoVAgQJ6U1MVXOaj8PK2l7WJ3RER9xtqwdhxkhw/edit?usp=sharing"",""สระแก้ว!J27"")"),0)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IFERROR(__xludf.DUMMYFUNCTION("IMPORTRANGE(""https://docs.google.com/spreadsheets/d/1SX6NBoVAgQJ6U1MVXOaj8PK2l7WJ3RER9xtqwdhxkhw/edit?usp=sharing"",""สระแก้ว!I28"")"),1)</f>
        <v>1</v>
      </c>
      <c r="J88" s="204">
        <f ca="1">IFERROR(__xludf.DUMMYFUNCTION("IMPORTRANGE(""https://docs.google.com/spreadsheets/d/1SX6NBoVAgQJ6U1MVXOaj8PK2l7WJ3RER9xtqwdhxkhw/edit?usp=sharing"",""สระแก้ว!J28"")"),0)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IFERROR(__xludf.DUMMYFUNCTION("IMPORTRANGE(""https://docs.google.com/spreadsheets/d/1SX6NBoVAgQJ6U1MVXOaj8PK2l7WJ3RER9xtqwdhxkhw/edit?usp=sharing"",""สระแก้ว!J29"")"),0)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IFERROR(__xludf.DUMMYFUNCTION("IMPORTRANGE(""https://docs.google.com/spreadsheets/d/1SX6NBoVAgQJ6U1MVXOaj8PK2l7WJ3RER9xtqwdhxkhw/edit?usp=sharing"",""สระแก้ว!J30"")"),0)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IFERROR(__xludf.DUMMYFUNCTION("IMPORTRANGE(""https://docs.google.com/spreadsheets/d/1Yj_ptqi66GCucihVvJfMjLAmec39IyEx_6qawtMGysU/edit?usp=sharing"",""สบก!AR75"")"),0)</f>
        <v>0</v>
      </c>
      <c r="N98" s="169">
        <f ca="1">IFERROR(__xludf.DUMMYFUNCTION("IMPORTRANGE(""https://docs.google.com/spreadsheets/d/1Yj_ptqi66GCucihVvJfMjLAmec39IyEx_6qawtMGysU/edit?usp=sharing"",""สบก!AS75"")"),0)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IFERROR(__xludf.DUMMYFUNCTION("IMPORTRANGE(""https://docs.google.com/spreadsheets/d/1Yj_ptqi66GCucihVvJfMjLAmec39IyEx_6qawtMGysU/edit?usp=sharing"",""สบก!AO75"")"),0)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IFERROR(__xludf.DUMMYFUNCTION("IMPORTRANGE(""https://docs.google.com/spreadsheets/d/1SX6NBoVAgQJ6U1MVXOaj8PK2l7WJ3RER9xtqwdhxkhw/edit?usp=sharing"",""สระแก้ว!J39"")"),0)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IFERROR(__xludf.DUMMYFUNCTION("IMPORTRANGE(""https://docs.google.com/spreadsheets/d/1SX6NBoVAgQJ6U1MVXOaj8PK2l7WJ3RER9xtqwdhxkhw/edit?usp=sharing"",""สระแก้ว!J40"")"),0)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IFERROR(__xludf.DUMMYFUNCTION("IMPORTRANGE(""https://docs.google.com/spreadsheets/d/1SX6NBoVAgQJ6U1MVXOaj8PK2l7WJ3RER9xtqwdhxkhw/edit?usp=sharing"",""สระแก้ว!J41"")"),0)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IFERROR(__xludf.DUMMYFUNCTION("IMPORTRANGE(""https://docs.google.com/spreadsheets/d/1SX6NBoVAgQJ6U1MVXOaj8PK2l7WJ3RER9xtqwdhxkhw/edit?usp=sharing"",""สระแก้ว!J42"")"),0)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IFERROR(__xludf.DUMMYFUNCTION("IMPORTRANGE(""https://docs.google.com/spreadsheets/d/1SX6NBoVAgQJ6U1MVXOaj8PK2l7WJ3RER9xtqwdhxkhw/edit?usp=sharing"",""สระแก้ว!I43"")"),0)</f>
        <v>0</v>
      </c>
      <c r="J108" s="204">
        <f ca="1">IFERROR(__xludf.DUMMYFUNCTION("IMPORTRANGE(""https://docs.google.com/spreadsheets/d/1SX6NBoVAgQJ6U1MVXOaj8PK2l7WJ3RER9xtqwdhxkhw/edit?usp=sharing"",""สระแก้ว!J43"")"),0)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IFERROR(__xludf.DUMMYFUNCTION("IMPORTRANGE(""https://docs.google.com/spreadsheets/d/1SX6NBoVAgQJ6U1MVXOaj8PK2l7WJ3RER9xtqwdhxkhw/edit?usp=sharing"",""สระแก้ว!I44"")"),0)</f>
        <v>0</v>
      </c>
      <c r="J109" s="204">
        <f ca="1">IFERROR(__xludf.DUMMYFUNCTION("IMPORTRANGE(""https://docs.google.com/spreadsheets/d/1SX6NBoVAgQJ6U1MVXOaj8PK2l7WJ3RER9xtqwdhxkhw/edit?usp=sharing"",""สระแก้ว!J44"")"),0)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IFERROR(__xludf.DUMMYFUNCTION("IMPORTRANGE(""https://docs.google.com/spreadsheets/d/1SX6NBoVAgQJ6U1MVXOaj8PK2l7WJ3RER9xtqwdhxkhw/edit?usp=sharing"",""สระแก้ว!I45"")"),0)</f>
        <v>0</v>
      </c>
      <c r="J110" s="204">
        <f ca="1">IFERROR(__xludf.DUMMYFUNCTION("IMPORTRANGE(""https://docs.google.com/spreadsheets/d/1SX6NBoVAgQJ6U1MVXOaj8PK2l7WJ3RER9xtqwdhxkhw/edit?usp=sharing"",""สระแก้ว!J45"")"),0)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IFERROR(__xludf.DUMMYFUNCTION("IMPORTRANGE(""https://docs.google.com/spreadsheets/d/1SX6NBoVAgQJ6U1MVXOaj8PK2l7WJ3RER9xtqwdhxkhw/edit?usp=sharing"",""สระแก้ว!I46"")"),0)</f>
        <v>0</v>
      </c>
      <c r="J111" s="204">
        <f ca="1">IFERROR(__xludf.DUMMYFUNCTION("IMPORTRANGE(""https://docs.google.com/spreadsheets/d/1SX6NBoVAgQJ6U1MVXOaj8PK2l7WJ3RER9xtqwdhxkhw/edit?usp=sharing"",""สระแก้ว!J46"")"),0)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IFERROR(__xludf.DUMMYFUNCTION("IMPORTRANGE(""https://docs.google.com/spreadsheets/d/1SX6NBoVAgQJ6U1MVXOaj8PK2l7WJ3RER9xtqwdhxkhw/edit?usp=sharing"",""สระแก้ว!I47"")"),0)</f>
        <v>0</v>
      </c>
      <c r="J112" s="204">
        <f ca="1">IFERROR(__xludf.DUMMYFUNCTION("IMPORTRANGE(""https://docs.google.com/spreadsheets/d/1SX6NBoVAgQJ6U1MVXOaj8PK2l7WJ3RER9xtqwdhxkhw/edit?usp=sharing"",""สระแก้ว!J47"")"),0)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IFERROR(__xludf.DUMMYFUNCTION("IMPORTRANGE(""https://docs.google.com/spreadsheets/d/1SX6NBoVAgQJ6U1MVXOaj8PK2l7WJ3RER9xtqwdhxkhw/edit?usp=sharing"",""สระแก้ว!I48"")"),0)</f>
        <v>0</v>
      </c>
      <c r="J113" s="204">
        <f ca="1">IFERROR(__xludf.DUMMYFUNCTION("IMPORTRANGE(""https://docs.google.com/spreadsheets/d/1SX6NBoVAgQJ6U1MVXOaj8PK2l7WJ3RER9xtqwdhxkhw/edit?usp=sharing"",""สระแก้ว!J48"")"),0)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IFERROR(__xludf.DUMMYFUNCTION("IMPORTRANGE(""https://docs.google.com/spreadsheets/d/1SX6NBoVAgQJ6U1MVXOaj8PK2l7WJ3RER9xtqwdhxkhw/edit?usp=sharing"",""สระแก้ว!J49"")"),0)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IFERROR(__xludf.DUMMYFUNCTION("IMPORTRANGE(""https://docs.google.com/spreadsheets/d/1SX6NBoVAgQJ6U1MVXOaj8PK2l7WJ3RER9xtqwdhxkhw/edit?usp=sharing"",""สระแก้ว!J50"")"),0)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IFERROR(__xludf.DUMMYFUNCTION("IMPORTRANGE(""https://docs.google.com/spreadsheets/d/1Yj_ptqi66GCucihVvJfMjLAmec39IyEx_6qawtMGysU/edit?usp=sharing"",""สบก!BA75"")"),0)</f>
        <v>0</v>
      </c>
      <c r="N122" s="169">
        <f ca="1">IFERROR(__xludf.DUMMYFUNCTION("IMPORTRANGE(""https://docs.google.com/spreadsheets/d/1Yj_ptqi66GCucihVvJfMjLAmec39IyEx_6qawtMGysU/edit?usp=sharing"",""สบก!BB75"")"),0)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IFERROR(__xludf.DUMMYFUNCTION("IMPORTRANGE(""https://docs.google.com/spreadsheets/d/1SX6NBoVAgQJ6U1MVXOaj8PK2l7WJ3RER9xtqwdhxkhw/edit?usp=sharing"",""สระแก้ว!J58"")"),0)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IFERROR(__xludf.DUMMYFUNCTION("IMPORTRANGE(""https://docs.google.com/spreadsheets/d/1SX6NBoVAgQJ6U1MVXOaj8PK2l7WJ3RER9xtqwdhxkhw/edit?usp=sharing"",""สระแก้ว!J59"")"),0)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IFERROR(__xludf.DUMMYFUNCTION("IMPORTRANGE(""https://docs.google.com/spreadsheets/d/1SX6NBoVAgQJ6U1MVXOaj8PK2l7WJ3RER9xtqwdhxkhw/edit?usp=sharing"",""สระแก้ว!J60"")"),0)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IFERROR(__xludf.DUMMYFUNCTION("IMPORTRANGE(""https://docs.google.com/spreadsheets/d/1SX6NBoVAgQJ6U1MVXOaj8PK2l7WJ3RER9xtqwdhxkhw/edit?usp=sharing"",""สระแก้ว!J61"")"),0)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IFERROR(__xludf.DUMMYFUNCTION("IMPORTRANGE(""https://docs.google.com/spreadsheets/d/1SX6NBoVAgQJ6U1MVXOaj8PK2l7WJ3RER9xtqwdhxkhw/edit?usp=sharing"",""สระแก้ว!I62"")"),0)</f>
        <v>0</v>
      </c>
      <c r="J132" s="204">
        <f ca="1">IFERROR(__xludf.DUMMYFUNCTION("IMPORTRANGE(""https://docs.google.com/spreadsheets/d/1SX6NBoVAgQJ6U1MVXOaj8PK2l7WJ3RER9xtqwdhxkhw/edit?usp=sharing"",""สระแก้ว!J62"")"),0)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IFERROR(__xludf.DUMMYFUNCTION("IMPORTRANGE(""https://docs.google.com/spreadsheets/d/1SX6NBoVAgQJ6U1MVXOaj8PK2l7WJ3RER9xtqwdhxkhw/edit?usp=sharing"",""สระแก้ว!I63"")"),0)</f>
        <v>0</v>
      </c>
      <c r="J133" s="204">
        <f ca="1">IFERROR(__xludf.DUMMYFUNCTION("IMPORTRANGE(""https://docs.google.com/spreadsheets/d/1SX6NBoVAgQJ6U1MVXOaj8PK2l7WJ3RER9xtqwdhxkhw/edit?usp=sharing"",""สระแก้ว!J63"")"),0)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IFERROR(__xludf.DUMMYFUNCTION("IMPORTRANGE(""https://docs.google.com/spreadsheets/d/1SX6NBoVAgQJ6U1MVXOaj8PK2l7WJ3RER9xtqwdhxkhw/edit?usp=sharing"",""สระแก้ว!J64"")"),0)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IFERROR(__xludf.DUMMYFUNCTION("IMPORTRANGE(""https://docs.google.com/spreadsheets/d/1SX6NBoVAgQJ6U1MVXOaj8PK2l7WJ3RER9xtqwdhxkhw/edit?usp=sharing"",""สระแก้ว!J65"")"),0)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IFERROR(__xludf.DUMMYFUNCTION("IMPORTRANGE(""https://docs.google.com/spreadsheets/d/1SX6NBoVAgQJ6U1MVXOaj8PK2l7WJ3RER9xtqwdhxkhw/edit?usp=sharing"",""สระแก้ว!I68"")"),60)</f>
        <v>60</v>
      </c>
      <c r="J138" s="268">
        <f ca="1">IFERROR(__xludf.DUMMYFUNCTION("IMPORTRANGE(""https://docs.google.com/spreadsheets/d/1SX6NBoVAgQJ6U1MVXOaj8PK2l7WJ3RER9xtqwdhxkhw/edit?usp=sharing"",""สระแก้ว!J68"")"),60)</f>
        <v>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479100</v>
      </c>
      <c r="M140" s="152">
        <f t="shared" ca="1" si="64"/>
        <v>401725</v>
      </c>
      <c r="N140" s="152">
        <f t="shared" ca="1" si="64"/>
        <v>377139.01</v>
      </c>
      <c r="O140" s="151">
        <f t="shared" ref="O140:O142" ca="1" si="65">IF(L140&gt;0,N140*100/L140,0)</f>
        <v>78.71822375286996</v>
      </c>
      <c r="P140" s="151">
        <f t="shared" ref="P140:P142" ca="1" si="66">IF(M140&gt;0,N140*100/M140,0)</f>
        <v>93.879895450868133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479100</v>
      </c>
      <c r="M142" s="157">
        <f t="shared" ca="1" si="68"/>
        <v>401725</v>
      </c>
      <c r="N142" s="157">
        <f t="shared" ca="1" si="68"/>
        <v>377139.01</v>
      </c>
      <c r="O142" s="156">
        <f t="shared" ca="1" si="65"/>
        <v>78.71822375286996</v>
      </c>
      <c r="P142" s="156">
        <f t="shared" ca="1" si="66"/>
        <v>93.879895450868133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479100</v>
      </c>
      <c r="M144" s="168">
        <f ca="1">IFERROR(__xludf.DUMMYFUNCTION("IMPORTRANGE(""https://docs.google.com/spreadsheets/d/1Yj_ptqi66GCucihVvJfMjLAmec39IyEx_6qawtMGysU/edit?usp=sharing"",""สบก!BJ75"")"),401725)</f>
        <v>401725</v>
      </c>
      <c r="N144" s="169">
        <f ca="1">IFERROR(__xludf.DUMMYFUNCTION("IMPORTRANGE(""https://docs.google.com/spreadsheets/d/1Yj_ptqi66GCucihVvJfMjLAmec39IyEx_6qawtMGysU/edit?usp=sharing"",""สบก!BK75"")"),377139.01)</f>
        <v>377139.01</v>
      </c>
      <c r="O144" s="169">
        <f ca="1">IF(L144&gt;0,N144*100/L144,0)</f>
        <v>78.71822375286996</v>
      </c>
      <c r="P144" s="169">
        <f ca="1">IF(M144&gt;0,N144*100/M144,0)</f>
        <v>93.879895450868133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IFERROR(__xludf.DUMMYFUNCTION("IMPORTRANGE(""https://docs.google.com/spreadsheets/d/1Yj_ptqi66GCucihVvJfMjLAmec39IyEx_6qawtMGysU/edit?usp=sharing"",""สบก!BF75"")"),132000)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IFERROR(__xludf.DUMMYFUNCTION("IMPORTRANGE(""https://docs.google.com/spreadsheets/d/1Yj_ptqi66GCucihVvJfMjLAmec39IyEx_6qawtMGysU/edit?usp=sharing"",""สบก!BG75"")"),347100)</f>
        <v>347100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IFERROR(__xludf.DUMMYFUNCTION("IMPORTRANGE(""https://docs.google.com/spreadsheets/d/1SX6NBoVAgQJ6U1MVXOaj8PK2l7WJ3RER9xtqwdhxkhw/edit?usp=sharing"",""สระแก้ว!I74"")"),4)</f>
        <v>4</v>
      </c>
      <c r="J149" s="276">
        <f ca="1">IFERROR(__xludf.DUMMYFUNCTION("IMPORTRANGE(""https://docs.google.com/spreadsheets/d/1SX6NBoVAgQJ6U1MVXOaj8PK2l7WJ3RER9xtqwdhxkhw/edit?usp=sharing"",""สระแก้ว!J74"")"),3)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IFERROR(__xludf.DUMMYFUNCTION("IMPORTRANGE(""https://docs.google.com/spreadsheets/d/1SX6NBoVAgQJ6U1MVXOaj8PK2l7WJ3RER9xtqwdhxkhw/edit?usp=sharing"",""สระแก้ว!J79"")"),0)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IFERROR(__xludf.DUMMYFUNCTION("IMPORTRANGE(""https://docs.google.com/spreadsheets/d/1SX6NBoVAgQJ6U1MVXOaj8PK2l7WJ3RER9xtqwdhxkhw/edit?usp=sharing"",""สระแก้ว!J80"")"),1)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IFERROR(__xludf.DUMMYFUNCTION("IMPORTRANGE(""https://docs.google.com/spreadsheets/d/1SX6NBoVAgQJ6U1MVXOaj8PK2l7WJ3RER9xtqwdhxkhw/edit?usp=sharing"",""สระแก้ว!J81"")"),1)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IFERROR(__xludf.DUMMYFUNCTION("IMPORTRANGE(""https://docs.google.com/spreadsheets/d/1SX6NBoVAgQJ6U1MVXOaj8PK2l7WJ3RER9xtqwdhxkhw/edit?usp=sharing"",""สระแก้ว!J82"")"),1)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IFERROR(__xludf.DUMMYFUNCTION("IMPORTRANGE(""https://docs.google.com/spreadsheets/d/1SX6NBoVAgQJ6U1MVXOaj8PK2l7WJ3RER9xtqwdhxkhw/edit?usp=sharing"",""สระแก้ว!I83"")"),4)</f>
        <v>4</v>
      </c>
      <c r="J158" s="189">
        <f ca="1">IFERROR(__xludf.DUMMYFUNCTION("IMPORTRANGE(""https://docs.google.com/spreadsheets/d/1SX6NBoVAgQJ6U1MVXOaj8PK2l7WJ3RER9xtqwdhxkhw/edit?usp=sharing"",""สระแก้ว!J83"")"),3)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IFERROR(__xludf.DUMMYFUNCTION("IMPORTRANGE(""https://docs.google.com/spreadsheets/d/1SX6NBoVAgQJ6U1MVXOaj8PK2l7WJ3RER9xtqwdhxkhw/edit?usp=sharing"",""สระแก้ว!J84"")"),0)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IFERROR(__xludf.DUMMYFUNCTION("IMPORTRANGE(""https://docs.google.com/spreadsheets/d/1SX6NBoVAgQJ6U1MVXOaj8PK2l7WJ3RER9xtqwdhxkhw/edit?usp=sharing"",""สระแก้ว!J85"")"),0)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IFERROR(__xludf.DUMMYFUNCTION("IMPORTRANGE(""https://docs.google.com/spreadsheets/d/1SX6NBoVAgQJ6U1MVXOaj8PK2l7WJ3RER9xtqwdhxkhw/edit?usp=sharing"",""สระแก้ว!J86"")"),0)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IFERROR(__xludf.DUMMYFUNCTION("IMPORTRANGE(""https://docs.google.com/spreadsheets/d/1SX6NBoVAgQJ6U1MVXOaj8PK2l7WJ3RER9xtqwdhxkhw/edit?usp=sharing"",""สระแก้ว!J87"")"),0)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IFERROR(__xludf.DUMMYFUNCTION("IMPORTRANGE(""https://docs.google.com/spreadsheets/d/1SX6NBoVAgQJ6U1MVXOaj8PK2l7WJ3RER9xtqwdhxkhw/edit?usp=sharing"",""สระแก้ว!J88"")"),0)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IFERROR(__xludf.DUMMYFUNCTION("IMPORTRANGE(""https://docs.google.com/spreadsheets/d/1SX6NBoVAgQJ6U1MVXOaj8PK2l7WJ3RER9xtqwdhxkhw/edit?usp=sharing"",""สระแก้ว!I89"")"),3)</f>
        <v>3</v>
      </c>
      <c r="J164" s="285">
        <f ca="1">IFERROR(__xludf.DUMMYFUNCTION("IMPORTRANGE(""https://docs.google.com/spreadsheets/d/1SX6NBoVAgQJ6U1MVXOaj8PK2l7WJ3RER9xtqwdhxkhw/edit?usp=sharing"",""สระแก้ว!J89"")"),3)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IFERROR(__xludf.DUMMYFUNCTION("IMPORTRANGE(""https://docs.google.com/spreadsheets/d/1SX6NBoVAgQJ6U1MVXOaj8PK2l7WJ3RER9xtqwdhxkhw/edit?usp=sharing"",""สระแก้ว!J94"")"),0)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IFERROR(__xludf.DUMMYFUNCTION("IMPORTRANGE(""https://docs.google.com/spreadsheets/d/1SX6NBoVAgQJ6U1MVXOaj8PK2l7WJ3RER9xtqwdhxkhw/edit?usp=sharing"",""สระแก้ว!J95"")"),1)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IFERROR(__xludf.DUMMYFUNCTION("IMPORTRANGE(""https://docs.google.com/spreadsheets/d/1SX6NBoVAgQJ6U1MVXOaj8PK2l7WJ3RER9xtqwdhxkhw/edit?usp=sharing"",""สระแก้ว!J96"")"),1)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IFERROR(__xludf.DUMMYFUNCTION("IMPORTRANGE(""https://docs.google.com/spreadsheets/d/1SX6NBoVAgQJ6U1MVXOaj8PK2l7WJ3RER9xtqwdhxkhw/edit?usp=sharing"",""สระแก้ว!J97"")"),1)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IFERROR(__xludf.DUMMYFUNCTION("IMPORTRANGE(""https://docs.google.com/spreadsheets/d/1SX6NBoVAgQJ6U1MVXOaj8PK2l7WJ3RER9xtqwdhxkhw/edit?usp=sharing"",""สระแก้ว!I98"")"),3)</f>
        <v>3</v>
      </c>
      <c r="J173" s="189">
        <f ca="1">IFERROR(__xludf.DUMMYFUNCTION("IMPORTRANGE(""https://docs.google.com/spreadsheets/d/1SX6NBoVAgQJ6U1MVXOaj8PK2l7WJ3RER9xtqwdhxkhw/edit?usp=sharing"",""สระแก้ว!J98"")"),3)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IFERROR(__xludf.DUMMYFUNCTION("IMPORTRANGE(""https://docs.google.com/spreadsheets/d/1SX6NBoVAgQJ6U1MVXOaj8PK2l7WJ3RER9xtqwdhxkhw/edit?usp=sharing"",""สระแก้ว!J99"")"),0)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IFERROR(__xludf.DUMMYFUNCTION("IMPORTRANGE(""https://docs.google.com/spreadsheets/d/1SX6NBoVAgQJ6U1MVXOaj8PK2l7WJ3RER9xtqwdhxkhw/edit?usp=sharing"",""สระแก้ว!J100"")"),0)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IFERROR(__xludf.DUMMYFUNCTION("IMPORTRANGE(""https://docs.google.com/spreadsheets/d/1SX6NBoVAgQJ6U1MVXOaj8PK2l7WJ3RER9xtqwdhxkhw/edit?usp=sharing"",""สระแก้ว!I101"")"),6)</f>
        <v>6</v>
      </c>
      <c r="J176" s="285">
        <f ca="1">IFERROR(__xludf.DUMMYFUNCTION("IMPORTRANGE(""https://docs.google.com/spreadsheets/d/1SX6NBoVAgQJ6U1MVXOaj8PK2l7WJ3RER9xtqwdhxkhw/edit?usp=sharing"",""สระแก้ว!J101"")"),6)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IFERROR(__xludf.DUMMYFUNCTION("IMPORTRANGE(""https://docs.google.com/spreadsheets/d/1SX6NBoVAgQJ6U1MVXOaj8PK2l7WJ3RER9xtqwdhxkhw/edit?usp=sharing"",""สระแก้ว!J106"")"),0)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IFERROR(__xludf.DUMMYFUNCTION("IMPORTRANGE(""https://docs.google.com/spreadsheets/d/1SX6NBoVAgQJ6U1MVXOaj8PK2l7WJ3RER9xtqwdhxkhw/edit?usp=sharing"",""สระแก้ว!J107"")"),1)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IFERROR(__xludf.DUMMYFUNCTION("IMPORTRANGE(""https://docs.google.com/spreadsheets/d/1SX6NBoVAgQJ6U1MVXOaj8PK2l7WJ3RER9xtqwdhxkhw/edit?usp=sharing"",""สระแก้ว!J108"")"),1)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IFERROR(__xludf.DUMMYFUNCTION("IMPORTRANGE(""https://docs.google.com/spreadsheets/d/1SX6NBoVAgQJ6U1MVXOaj8PK2l7WJ3RER9xtqwdhxkhw/edit?usp=sharing"",""สระแก้ว!J109"")"),1)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IFERROR(__xludf.DUMMYFUNCTION("IMPORTRANGE(""https://docs.google.com/spreadsheets/d/1SX6NBoVAgQJ6U1MVXOaj8PK2l7WJ3RER9xtqwdhxkhw/edit?usp=sharing"",""สระแก้ว!I110"")"),6)</f>
        <v>6</v>
      </c>
      <c r="J185" s="204">
        <f ca="1">IFERROR(__xludf.DUMMYFUNCTION("IMPORTRANGE(""https://docs.google.com/spreadsheets/d/1SX6NBoVAgQJ6U1MVXOaj8PK2l7WJ3RER9xtqwdhxkhw/edit?usp=sharing"",""สระแก้ว!J110"")"),6)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IFERROR(__xludf.DUMMYFUNCTION("IMPORTRANGE(""https://docs.google.com/spreadsheets/d/1SX6NBoVAgQJ6U1MVXOaj8PK2l7WJ3RER9xtqwdhxkhw/edit?usp=sharing"",""สระแก้ว!I111"")"),6)</f>
        <v>6</v>
      </c>
      <c r="J186" s="204">
        <f ca="1">IFERROR(__xludf.DUMMYFUNCTION("IMPORTRANGE(""https://docs.google.com/spreadsheets/d/1SX6NBoVAgQJ6U1MVXOaj8PK2l7WJ3RER9xtqwdhxkhw/edit?usp=sharing"",""สระแก้ว!J111"")"),6)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IFERROR(__xludf.DUMMYFUNCTION("IMPORTRANGE(""https://docs.google.com/spreadsheets/d/1SX6NBoVAgQJ6U1MVXOaj8PK2l7WJ3RER9xtqwdhxkhw/edit?usp=sharing"",""สระแก้ว!J112"")"),0)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IFERROR(__xludf.DUMMYFUNCTION("IMPORTRANGE(""https://docs.google.com/spreadsheets/d/1SX6NBoVAgQJ6U1MVXOaj8PK2l7WJ3RER9xtqwdhxkhw/edit?usp=sharing"",""สระแก้ว!J113"")"),0)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IFERROR(__xludf.DUMMYFUNCTION("IMPORTRANGE(""https://docs.google.com/spreadsheets/d/1SX6NBoVAgQJ6U1MVXOaj8PK2l7WJ3RER9xtqwdhxkhw/edit?usp=sharing"",""สระแก้ว!I114"")"),40000)</f>
        <v>40000</v>
      </c>
      <c r="J189" s="285">
        <f ca="1">IFERROR(__xludf.DUMMYFUNCTION("IMPORTRANGE(""https://docs.google.com/spreadsheets/d/1SX6NBoVAgQJ6U1MVXOaj8PK2l7WJ3RER9xtqwdhxkhw/edit?usp=sharing"",""สระแก้ว!J114"")"),0)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IFERROR(__xludf.DUMMYFUNCTION("IMPORTRANGE(""https://docs.google.com/spreadsheets/d/1SX6NBoVAgQJ6U1MVXOaj8PK2l7WJ3RER9xtqwdhxkhw/edit?usp=sharing"",""สระแก้ว!J119"")"),1)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IFERROR(__xludf.DUMMYFUNCTION("IMPORTRANGE(""https://docs.google.com/spreadsheets/d/1SX6NBoVAgQJ6U1MVXOaj8PK2l7WJ3RER9xtqwdhxkhw/edit?usp=sharing"",""สระแก้ว!J120"")"),0)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IFERROR(__xludf.DUMMYFUNCTION("IMPORTRANGE(""https://docs.google.com/spreadsheets/d/1SX6NBoVAgQJ6U1MVXOaj8PK2l7WJ3RER9xtqwdhxkhw/edit?usp=sharing"",""สระแก้ว!J121"")"),0)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IFERROR(__xludf.DUMMYFUNCTION("IMPORTRANGE(""https://docs.google.com/spreadsheets/d/1SX6NBoVAgQJ6U1MVXOaj8PK2l7WJ3RER9xtqwdhxkhw/edit?usp=sharing"",""สระแก้ว!J122"")"),0)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IFERROR(__xludf.DUMMYFUNCTION("IMPORTRANGE(""https://docs.google.com/spreadsheets/d/1SX6NBoVAgQJ6U1MVXOaj8PK2l7WJ3RER9xtqwdhxkhw/edit?usp=sharing"",""สระแก้ว!I124"")"),40000)</f>
        <v>40000</v>
      </c>
      <c r="J199" s="189">
        <f ca="1">IFERROR(__xludf.DUMMYFUNCTION("IMPORTRANGE(""https://docs.google.com/spreadsheets/d/1SX6NBoVAgQJ6U1MVXOaj8PK2l7WJ3RER9xtqwdhxkhw/edit?usp=sharing"",""สระแก้ว!J124"")"),0)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IFERROR(__xludf.DUMMYFUNCTION("IMPORTRANGE(""https://docs.google.com/spreadsheets/d/1SX6NBoVAgQJ6U1MVXOaj8PK2l7WJ3RER9xtqwdhxkhw/edit?usp=sharing"",""สระแก้ว!I125"")"),40000)</f>
        <v>40000</v>
      </c>
      <c r="J200" s="189">
        <f ca="1">IFERROR(__xludf.DUMMYFUNCTION("IMPORTRANGE(""https://docs.google.com/spreadsheets/d/1SX6NBoVAgQJ6U1MVXOaj8PK2l7WJ3RER9xtqwdhxkhw/edit?usp=sharing"",""สระแก้ว!J125"")"),0)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IFERROR(__xludf.DUMMYFUNCTION("IMPORTRANGE(""https://docs.google.com/spreadsheets/d/1SX6NBoVAgQJ6U1MVXOaj8PK2l7WJ3RER9xtqwdhxkhw/edit?usp=sharing"",""สระแก้ว!I126"")"),0)</f>
        <v>0</v>
      </c>
      <c r="J201" s="189">
        <f ca="1">IFERROR(__xludf.DUMMYFUNCTION("IMPORTRANGE(""https://docs.google.com/spreadsheets/d/1SX6NBoVAgQJ6U1MVXOaj8PK2l7WJ3RER9xtqwdhxkhw/edit?usp=sharing"",""สระแก้ว!J126"")"),0)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IFERROR(__xludf.DUMMYFUNCTION("IMPORTRANGE(""https://docs.google.com/spreadsheets/d/1SX6NBoVAgQJ6U1MVXOaj8PK2l7WJ3RER9xtqwdhxkhw/edit?usp=sharing"",""สระแก้ว!J127"")"),0)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IFERROR(__xludf.DUMMYFUNCTION("IMPORTRANGE(""https://docs.google.com/spreadsheets/d/1SX6NBoVAgQJ6U1MVXOaj8PK2l7WJ3RER9xtqwdhxkhw/edit?usp=sharing"",""สระแก้ว!J128"")"),0)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IFERROR(__xludf.DUMMYFUNCTION("IMPORTRANGE(""https://docs.google.com/spreadsheets/d/1SX6NBoVAgQJ6U1MVXOaj8PK2l7WJ3RER9xtqwdhxkhw/edit?usp=sharing"",""สระแก้ว!I129"")"),60)</f>
        <v>60</v>
      </c>
      <c r="J204" s="285">
        <f ca="1">IFERROR(__xludf.DUMMYFUNCTION("IMPORTRANGE(""https://docs.google.com/spreadsheets/d/1SX6NBoVAgQJ6U1MVXOaj8PK2l7WJ3RER9xtqwdhxkhw/edit?usp=sharing"",""สระแก้ว!J129"")"),60)</f>
        <v>60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IFERROR(__xludf.DUMMYFUNCTION("IMPORTRANGE(""https://docs.google.com/spreadsheets/d/1SX6NBoVAgQJ6U1MVXOaj8PK2l7WJ3RER9xtqwdhxkhw/edit?usp=sharing"",""สระแก้ว!J134"")"),0)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IFERROR(__xludf.DUMMYFUNCTION("IMPORTRANGE(""https://docs.google.com/spreadsheets/d/1SX6NBoVAgQJ6U1MVXOaj8PK2l7WJ3RER9xtqwdhxkhw/edit?usp=sharing"",""สระแก้ว!J135"")"),1)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IFERROR(__xludf.DUMMYFUNCTION("IMPORTRANGE(""https://docs.google.com/spreadsheets/d/1SX6NBoVAgQJ6U1MVXOaj8PK2l7WJ3RER9xtqwdhxkhw/edit?usp=sharing"",""สระแก้ว!J136"")"),1)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IFERROR(__xludf.DUMMYFUNCTION("IMPORTRANGE(""https://docs.google.com/spreadsheets/d/1SX6NBoVAgQJ6U1MVXOaj8PK2l7WJ3RER9xtqwdhxkhw/edit?usp=sharing"",""สระแก้ว!J137"")"),1)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IFERROR(__xludf.DUMMYFUNCTION("IMPORTRANGE(""https://docs.google.com/spreadsheets/d/1SX6NBoVAgQJ6U1MVXOaj8PK2l7WJ3RER9xtqwdhxkhw/edit?usp=sharing"",""สระแก้ว!I138"")"),60)</f>
        <v>60</v>
      </c>
      <c r="J213" s="204">
        <f ca="1">IFERROR(__xludf.DUMMYFUNCTION("IMPORTRANGE(""https://docs.google.com/spreadsheets/d/1SX6NBoVAgQJ6U1MVXOaj8PK2l7WJ3RER9xtqwdhxkhw/edit?usp=sharing"",""สระแก้ว!J138"")"),60)</f>
        <v>60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IFERROR(__xludf.DUMMYFUNCTION("IMPORTRANGE(""https://docs.google.com/spreadsheets/d/1SX6NBoVAgQJ6U1MVXOaj8PK2l7WJ3RER9xtqwdhxkhw/edit?usp=sharing"",""สระแก้ว!I140"")"),20)</f>
        <v>20</v>
      </c>
      <c r="J215" s="204">
        <f ca="1">IFERROR(__xludf.DUMMYFUNCTION("IMPORTRANGE(""https://docs.google.com/spreadsheets/d/1SX6NBoVAgQJ6U1MVXOaj8PK2l7WJ3RER9xtqwdhxkhw/edit?usp=sharing"",""สระแก้ว!J140"")"),0)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IFERROR(__xludf.DUMMYFUNCTION("IMPORTRANGE(""https://docs.google.com/spreadsheets/d/1SX6NBoVAgQJ6U1MVXOaj8PK2l7WJ3RER9xtqwdhxkhw/edit?usp=sharing"",""สระแก้ว!I141"")"),3)</f>
        <v>3</v>
      </c>
      <c r="J216" s="204">
        <f ca="1">IFERROR(__xludf.DUMMYFUNCTION("IMPORTRANGE(""https://docs.google.com/spreadsheets/d/1SX6NBoVAgQJ6U1MVXOaj8PK2l7WJ3RER9xtqwdhxkhw/edit?usp=sharing"",""สระแก้ว!J141"")"),3)</f>
        <v>3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IFERROR(__xludf.DUMMYFUNCTION("IMPORTRANGE(""https://docs.google.com/spreadsheets/d/1SX6NBoVAgQJ6U1MVXOaj8PK2l7WJ3RER9xtqwdhxkhw/edit?usp=sharing"",""สระแก้ว!J142"")"),0)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IFERROR(__xludf.DUMMYFUNCTION("IMPORTRANGE(""https://docs.google.com/spreadsheets/d/1SX6NBoVAgQJ6U1MVXOaj8PK2l7WJ3RER9xtqwdhxkhw/edit?usp=sharing"",""สระแก้ว!J143"")"),0)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IFERROR(__xludf.DUMMYFUNCTION("IMPORTRANGE(""https://docs.google.com/spreadsheets/d/1SX6NBoVAgQJ6U1MVXOaj8PK2l7WJ3RER9xtqwdhxkhw/edit?usp=sharing"",""สระแก้ว!I144"")"),13)</f>
        <v>13</v>
      </c>
      <c r="J219" s="268">
        <f ca="1">IFERROR(__xludf.DUMMYFUNCTION("IMPORTRANGE(""https://docs.google.com/spreadsheets/d/1SX6NBoVAgQJ6U1MVXOaj8PK2l7WJ3RER9xtqwdhxkhw/edit?usp=sharing"",""สระแก้ว!J144"")"),13)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IFERROR(__xludf.DUMMYFUNCTION("IMPORTRANGE(""https://docs.google.com/spreadsheets/d/1Yj_ptqi66GCucihVvJfMjLAmec39IyEx_6qawtMGysU/edit?usp=sharing"",""สบก!BS75"")"),19295)</f>
        <v>19295</v>
      </c>
      <c r="N224" s="169">
        <f ca="1">IFERROR(__xludf.DUMMYFUNCTION("IMPORTRANGE(""https://docs.google.com/spreadsheets/d/1Yj_ptqi66GCucihVvJfMjLAmec39IyEx_6qawtMGysU/edit?usp=sharing"",""สบก!BT75"")"),19295)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IFERROR(__xludf.DUMMYFUNCTION("IMPORTRANGE(""https://docs.google.com/spreadsheets/d/1Yj_ptqi66GCucihVvJfMjLAmec39IyEx_6qawtMGysU/edit?usp=sharing"",""สบก!BP75"")"),19295)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IFERROR(__xludf.DUMMYFUNCTION("IMPORTRANGE(""https://docs.google.com/spreadsheets/d/1SX6NBoVAgQJ6U1MVXOaj8PK2l7WJ3RER9xtqwdhxkhw/edit?usp=sharing"",""สระแก้ว!I149"")"),13)</f>
        <v>13</v>
      </c>
      <c r="J229" s="268">
        <f ca="1">IFERROR(__xludf.DUMMYFUNCTION("IMPORTRANGE(""https://docs.google.com/spreadsheets/d/1SX6NBoVAgQJ6U1MVXOaj8PK2l7WJ3RER9xtqwdhxkhw/edit?usp=sharing"",""สระแก้ว!J149"")"),13)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IFERROR(__xludf.DUMMYFUNCTION("IMPORTRANGE(""https://docs.google.com/spreadsheets/d/1SX6NBoVAgQJ6U1MVXOaj8PK2l7WJ3RER9xtqwdhxkhw/edit?usp=sharing"",""สระแก้ว!J151"")"),0)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IFERROR(__xludf.DUMMYFUNCTION("IMPORTRANGE(""https://docs.google.com/spreadsheets/d/1SX6NBoVAgQJ6U1MVXOaj8PK2l7WJ3RER9xtqwdhxkhw/edit?usp=sharing"",""สระแก้ว!J152"")"),1)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IFERROR(__xludf.DUMMYFUNCTION("IMPORTRANGE(""https://docs.google.com/spreadsheets/d/1SX6NBoVAgQJ6U1MVXOaj8PK2l7WJ3RER9xtqwdhxkhw/edit?usp=sharing"",""สระแก้ว!J153"")"),1)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IFERROR(__xludf.DUMMYFUNCTION("IMPORTRANGE(""https://docs.google.com/spreadsheets/d/1SX6NBoVAgQJ6U1MVXOaj8PK2l7WJ3RER9xtqwdhxkhw/edit?usp=sharing"",""สระแก้ว!J154"")"),1)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IFERROR(__xludf.DUMMYFUNCTION("IMPORTRANGE(""https://docs.google.com/spreadsheets/d/1SX6NBoVAgQJ6U1MVXOaj8PK2l7WJ3RER9xtqwdhxkhw/edit?usp=sharing"",""สระแก้ว!I155"")"),13)</f>
        <v>13</v>
      </c>
      <c r="J235" s="189">
        <f ca="1">IFERROR(__xludf.DUMMYFUNCTION("IMPORTRANGE(""https://docs.google.com/spreadsheets/d/1SX6NBoVAgQJ6U1MVXOaj8PK2l7WJ3RER9xtqwdhxkhw/edit?usp=sharing"",""สระแก้ว!J155"")"),13)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IFERROR(__xludf.DUMMYFUNCTION("IMPORTRANGE(""https://docs.google.com/spreadsheets/d/1SX6NBoVAgQJ6U1MVXOaj8PK2l7WJ3RER9xtqwdhxkhw/edit?usp=sharing"",""สระแก้ว!J156"")"),1)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IFERROR(__xludf.DUMMYFUNCTION("IMPORTRANGE(""https://docs.google.com/spreadsheets/d/1SX6NBoVAgQJ6U1MVXOaj8PK2l7WJ3RER9xtqwdhxkhw/edit?usp=sharing"",""สระแก้ว!J157"")"),1)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IFERROR(__xludf.DUMMYFUNCTION("IMPORTRANGE(""https://docs.google.com/spreadsheets/d/1SX6NBoVAgQJ6U1MVXOaj8PK2l7WJ3RER9xtqwdhxkhw/edit?usp=sharing"",""สระแก้ว!I158"")"),0)</f>
        <v>0</v>
      </c>
      <c r="J238" s="268">
        <f ca="1">IFERROR(__xludf.DUMMYFUNCTION("IMPORTRANGE(""https://docs.google.com/spreadsheets/d/1SX6NBoVAgQJ6U1MVXOaj8PK2l7WJ3RER9xtqwdhxkhw/edit?usp=sharing"",""สระแก้ว!J158"")"),0)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IFERROR(__xludf.DUMMYFUNCTION("IMPORTRANGE(""https://docs.google.com/spreadsheets/d/1SX6NBoVAgQJ6U1MVXOaj8PK2l7WJ3RER9xtqwdhxkhw/edit?usp=sharing"",""สระแก้ว!J159"")"),"")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IFERROR(__xludf.DUMMYFUNCTION("IMPORTRANGE(""https://docs.google.com/spreadsheets/d/1SX6NBoVAgQJ6U1MVXOaj8PK2l7WJ3RER9xtqwdhxkhw/edit?usp=sharing"",""สระแก้ว!J161"")"),0)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IFERROR(__xludf.DUMMYFUNCTION("IMPORTRANGE(""https://docs.google.com/spreadsheets/d/1SX6NBoVAgQJ6U1MVXOaj8PK2l7WJ3RER9xtqwdhxkhw/edit?usp=sharing"",""สระแก้ว!J162"")"),0)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IFERROR(__xludf.DUMMYFUNCTION("IMPORTRANGE(""https://docs.google.com/spreadsheets/d/1SX6NBoVAgQJ6U1MVXOaj8PK2l7WJ3RER9xtqwdhxkhw/edit?usp=sharing"",""สระแก้ว!J163"")"),0)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IFERROR(__xludf.DUMMYFUNCTION("IMPORTRANGE(""https://docs.google.com/spreadsheets/d/1SX6NBoVAgQJ6U1MVXOaj8PK2l7WJ3RER9xtqwdhxkhw/edit?usp=sharing"",""สระแก้ว!I164"")"),0)</f>
        <v>0</v>
      </c>
      <c r="J244" s="188">
        <f ca="1">IFERROR(__xludf.DUMMYFUNCTION("IMPORTRANGE(""https://docs.google.com/spreadsheets/d/1SX6NBoVAgQJ6U1MVXOaj8PK2l7WJ3RER9xtqwdhxkhw/edit?usp=sharing"",""สระแก้ว!J164"")"),0)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IFERROR(__xludf.DUMMYFUNCTION("IMPORTRANGE(""https://docs.google.com/spreadsheets/d/1SX6NBoVAgQJ6U1MVXOaj8PK2l7WJ3RER9xtqwdhxkhw/edit?usp=sharing"",""สระแก้ว!J165"")"),0)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IFERROR(__xludf.DUMMYFUNCTION("IMPORTRANGE(""https://docs.google.com/spreadsheets/d/1SX6NBoVAgQJ6U1MVXOaj8PK2l7WJ3RER9xtqwdhxkhw/edit?usp=sharing"",""สระแก้ว!J166"")"),0)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IFERROR(__xludf.DUMMYFUNCTION("IMPORTRANGE(""https://docs.google.com/spreadsheets/d/1SX6NBoVAgQJ6U1MVXOaj8PK2l7WJ3RER9xtqwdhxkhw/edit?usp=sharing"",""สระแก้ว!I169"")"),0)</f>
        <v>0</v>
      </c>
      <c r="J249" s="317">
        <f ca="1">IFERROR(__xludf.DUMMYFUNCTION("IMPORTRANGE(""https://docs.google.com/spreadsheets/d/1SX6NBoVAgQJ6U1MVXOaj8PK2l7WJ3RER9xtqwdhxkhw/edit?usp=sharing"",""สระแก้ว!J169"")"),0)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IFERROR(__xludf.DUMMYFUNCTION("IMPORTRANGE(""https://docs.google.com/spreadsheets/d/1Yj_ptqi66GCucihVvJfMjLAmec39IyEx_6qawtMGysU/edit?usp=sharing"",""สบก!CB75"")"),0)</f>
        <v>0</v>
      </c>
      <c r="N254" s="169">
        <f ca="1">IFERROR(__xludf.DUMMYFUNCTION("IMPORTRANGE(""https://docs.google.com/spreadsheets/d/1Yj_ptqi66GCucihVvJfMjLAmec39IyEx_6qawtMGysU/edit?usp=sharing"",""สบก!CC75"")"),0)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IFERROR(__xludf.DUMMYFUNCTION("IMPORTRANGE(""https://docs.google.com/spreadsheets/d/1SX6NBoVAgQJ6U1MVXOaj8PK2l7WJ3RER9xtqwdhxkhw/edit?usp=sharing"",""สระแก้ว!J175"")"),0)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IFERROR(__xludf.DUMMYFUNCTION("IMPORTRANGE(""https://docs.google.com/spreadsheets/d/1SX6NBoVAgQJ6U1MVXOaj8PK2l7WJ3RER9xtqwdhxkhw/edit?usp=sharing"",""สระแก้ว!J176"")"),0)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IFERROR(__xludf.DUMMYFUNCTION("IMPORTRANGE(""https://docs.google.com/spreadsheets/d/1SX6NBoVAgQJ6U1MVXOaj8PK2l7WJ3RER9xtqwdhxkhw/edit?usp=sharing"",""สระแก้ว!J177"")"),0)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IFERROR(__xludf.DUMMYFUNCTION("IMPORTRANGE(""https://docs.google.com/spreadsheets/d/1SX6NBoVAgQJ6U1MVXOaj8PK2l7WJ3RER9xtqwdhxkhw/edit?usp=sharing"",""สระแก้ว!J178"")"),0)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IFERROR(__xludf.DUMMYFUNCTION("IMPORTRANGE(""https://docs.google.com/spreadsheets/d/1SX6NBoVAgQJ6U1MVXOaj8PK2l7WJ3RER9xtqwdhxkhw/edit?usp=sharing"",""สระแก้ว!I179"")"),0)</f>
        <v>0</v>
      </c>
      <c r="J264" s="189">
        <f ca="1">IFERROR(__xludf.DUMMYFUNCTION("IMPORTRANGE(""https://docs.google.com/spreadsheets/d/1SX6NBoVAgQJ6U1MVXOaj8PK2l7WJ3RER9xtqwdhxkhw/edit?usp=sharing"",""สระแก้ว!J179"")"),0)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IFERROR(__xludf.DUMMYFUNCTION("IMPORTRANGE(""https://docs.google.com/spreadsheets/d/1SX6NBoVAgQJ6U1MVXOaj8PK2l7WJ3RER9xtqwdhxkhw/edit?usp=sharing"",""สระแก้ว!I180"")"),0)</f>
        <v>0</v>
      </c>
      <c r="J265" s="189">
        <f ca="1">IFERROR(__xludf.DUMMYFUNCTION("IMPORTRANGE(""https://docs.google.com/spreadsheets/d/1SX6NBoVAgQJ6U1MVXOaj8PK2l7WJ3RER9xtqwdhxkhw/edit?usp=sharing"",""สระแก้ว!J180"")"),0)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IFERROR(__xludf.DUMMYFUNCTION("IMPORTRANGE(""https://docs.google.com/spreadsheets/d/1SX6NBoVAgQJ6U1MVXOaj8PK2l7WJ3RER9xtqwdhxkhw/edit?usp=sharing"",""สระแก้ว!I181"")"),0)</f>
        <v>0</v>
      </c>
      <c r="J266" s="189">
        <f ca="1">IFERROR(__xludf.DUMMYFUNCTION("IMPORTRANGE(""https://docs.google.com/spreadsheets/d/1SX6NBoVAgQJ6U1MVXOaj8PK2l7WJ3RER9xtqwdhxkhw/edit?usp=sharing"",""สระแก้ว!J181"")"),0)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IFERROR(__xludf.DUMMYFUNCTION("IMPORTRANGE(""https://docs.google.com/spreadsheets/d/1SX6NBoVAgQJ6U1MVXOaj8PK2l7WJ3RER9xtqwdhxkhw/edit?usp=sharing"",""สระแก้ว!I182"")"),0)</f>
        <v>0</v>
      </c>
      <c r="J267" s="189">
        <f ca="1">IFERROR(__xludf.DUMMYFUNCTION("IMPORTRANGE(""https://docs.google.com/spreadsheets/d/1SX6NBoVAgQJ6U1MVXOaj8PK2l7WJ3RER9xtqwdhxkhw/edit?usp=sharing"",""สระแก้ว!J182"")"),0)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IFERROR(__xludf.DUMMYFUNCTION("IMPORTRANGE(""https://docs.google.com/spreadsheets/d/1SX6NBoVAgQJ6U1MVXOaj8PK2l7WJ3RER9xtqwdhxkhw/edit?usp=sharing"",""สระแก้ว!J183"")"),0)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IFERROR(__xludf.DUMMYFUNCTION("IMPORTRANGE(""https://docs.google.com/spreadsheets/d/1SX6NBoVAgQJ6U1MVXOaj8PK2l7WJ3RER9xtqwdhxkhw/edit?usp=sharing"",""สระแก้ว!J184"")"),0)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IFERROR(__xludf.DUMMYFUNCTION("IMPORTRANGE(""https://docs.google.com/spreadsheets/d/1SX6NBoVAgQJ6U1MVXOaj8PK2l7WJ3RER9xtqwdhxkhw/edit?usp=sharing"",""สระแก้ว!I185"")"),15)</f>
        <v>15</v>
      </c>
      <c r="J270" s="317">
        <f ca="1">IFERROR(__xludf.DUMMYFUNCTION("IMPORTRANGE(""https://docs.google.com/spreadsheets/d/1SX6NBoVAgQJ6U1MVXOaj8PK2l7WJ3RER9xtqwdhxkhw/edit?usp=sharing"",""สระแก้ว!J185"")"),15)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19280</v>
      </c>
      <c r="O271" s="151">
        <f t="shared" ref="O271:O273" ca="1" si="84">IF(L271&gt;0,N271*100/L271,0)</f>
        <v>34.927536231884055</v>
      </c>
      <c r="P271" s="151">
        <f t="shared" ref="P271:P273" ca="1" si="85">IF(M271&gt;0,N271*100/M271,0)</f>
        <v>59.782945736434108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19280</v>
      </c>
      <c r="O273" s="156">
        <f t="shared" ca="1" si="84"/>
        <v>34.927536231884055</v>
      </c>
      <c r="P273" s="156">
        <f t="shared" ca="1" si="85"/>
        <v>59.782945736434108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IFERROR(__xludf.DUMMYFUNCTION("IMPORTRANGE(""https://docs.google.com/spreadsheets/d/1Yj_ptqi66GCucihVvJfMjLAmec39IyEx_6qawtMGysU/edit?usp=sharing"",""สบก!CK75"")"),32250)</f>
        <v>32250</v>
      </c>
      <c r="N275" s="169">
        <f ca="1">IFERROR(__xludf.DUMMYFUNCTION("IMPORTRANGE(""https://docs.google.com/spreadsheets/d/1Yj_ptqi66GCucihVvJfMjLAmec39IyEx_6qawtMGysU/edit?usp=sharing"",""สบก!CL75"")"),19280)</f>
        <v>19280</v>
      </c>
      <c r="O275" s="169">
        <f ca="1">IF(L275&gt;0,N275*100/L275,0)</f>
        <v>34.927536231884055</v>
      </c>
      <c r="P275" s="169">
        <f ca="1">IF(M275&gt;0,N275*100/M275,0)</f>
        <v>59.782945736434108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IFERROR(__xludf.DUMMYFUNCTION("IMPORTRANGE(""https://docs.google.com/spreadsheets/d/1SX6NBoVAgQJ6U1MVXOaj8PK2l7WJ3RER9xtqwdhxkhw/edit?usp=sharing"",""สระแก้ว!J191"")"),0)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IFERROR(__xludf.DUMMYFUNCTION("IMPORTRANGE(""https://docs.google.com/spreadsheets/d/1SX6NBoVAgQJ6U1MVXOaj8PK2l7WJ3RER9xtqwdhxkhw/edit?usp=sharing"",""สระแก้ว!J192"")"),1)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IFERROR(__xludf.DUMMYFUNCTION("IMPORTRANGE(""https://docs.google.com/spreadsheets/d/1SX6NBoVAgQJ6U1MVXOaj8PK2l7WJ3RER9xtqwdhxkhw/edit?usp=sharing"",""สระแก้ว!J193"")"),1)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IFERROR(__xludf.DUMMYFUNCTION("IMPORTRANGE(""https://docs.google.com/spreadsheets/d/1SX6NBoVAgQJ6U1MVXOaj8PK2l7WJ3RER9xtqwdhxkhw/edit?usp=sharing"",""สระแก้ว!J194"")"),1)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IFERROR(__xludf.DUMMYFUNCTION("IMPORTRANGE(""https://docs.google.com/spreadsheets/d/1SX6NBoVAgQJ6U1MVXOaj8PK2l7WJ3RER9xtqwdhxkhw/edit?usp=sharing"",""สระแก้ว!I195"")"),15)</f>
        <v>15</v>
      </c>
      <c r="J285" s="189">
        <f ca="1">IFERROR(__xludf.DUMMYFUNCTION("IMPORTRANGE(""https://docs.google.com/spreadsheets/d/1SX6NBoVAgQJ6U1MVXOaj8PK2l7WJ3RER9xtqwdhxkhw/edit?usp=sharing"",""สระแก้ว!J195"")"),15)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IFERROR(__xludf.DUMMYFUNCTION("IMPORTRANGE(""https://docs.google.com/spreadsheets/d/1SX6NBoVAgQJ6U1MVXOaj8PK2l7WJ3RER9xtqwdhxkhw/edit?usp=sharing"",""สระแก้ว!J196"")"),0)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IFERROR(__xludf.DUMMYFUNCTION("IMPORTRANGE(""https://docs.google.com/spreadsheets/d/1SX6NBoVAgQJ6U1MVXOaj8PK2l7WJ3RER9xtqwdhxkhw/edit?usp=sharing"",""สระแก้ว!J197"")"),0)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IFERROR(__xludf.DUMMYFUNCTION("IMPORTRANGE(""https://docs.google.com/spreadsheets/d/1SX6NBoVAgQJ6U1MVXOaj8PK2l7WJ3RER9xtqwdhxkhw/edit?usp=sharing"",""สระแก้ว!I199"")"),40)</f>
        <v>40</v>
      </c>
      <c r="J289" s="317">
        <f ca="1">IFERROR(__xludf.DUMMYFUNCTION("IMPORTRANGE(""https://docs.google.com/spreadsheets/d/1SX6NBoVAgQJ6U1MVXOaj8PK2l7WJ3RER9xtqwdhxkhw/edit?usp=sharing"",""สระแก้ว!J199"")"),40)</f>
        <v>40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118020</v>
      </c>
      <c r="O290" s="151">
        <f t="shared" ref="O290:O292" ca="1" si="89">IF(L290&gt;0,N290*100/L290,0)</f>
        <v>95.454545454545453</v>
      </c>
      <c r="P290" s="151">
        <f t="shared" ref="P290:P292" ca="1" si="90">IF(M290&gt;0,N290*100/M290,0)</f>
        <v>95.454545454545453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118020</v>
      </c>
      <c r="O292" s="156">
        <f t="shared" ca="1" si="89"/>
        <v>95.454545454545453</v>
      </c>
      <c r="P292" s="156">
        <f t="shared" ca="1" si="90"/>
        <v>95.454545454545453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123640</v>
      </c>
      <c r="M294" s="168">
        <f ca="1">IFERROR(__xludf.DUMMYFUNCTION("IMPORTRANGE(""https://docs.google.com/spreadsheets/d/1Yj_ptqi66GCucihVvJfMjLAmec39IyEx_6qawtMGysU/edit?usp=sharing"",""สบก!CT75"")"),123640)</f>
        <v>123640</v>
      </c>
      <c r="N294" s="169">
        <f ca="1">IFERROR(__xludf.DUMMYFUNCTION("IMPORTRANGE(""https://docs.google.com/spreadsheets/d/1Yj_ptqi66GCucihVvJfMjLAmec39IyEx_6qawtMGysU/edit?usp=sharing"",""สบก!CU75"")"),118020)</f>
        <v>118020</v>
      </c>
      <c r="O294" s="169">
        <f ca="1">IF(L294&gt;0,N294*100/L294,0)</f>
        <v>95.454545454545453</v>
      </c>
      <c r="P294" s="169">
        <f ca="1">IF(M294&gt;0,N294*100/M294,0)</f>
        <v>95.454545454545453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IFERROR(__xludf.DUMMYFUNCTION("IMPORTRANGE(""https://docs.google.com/spreadsheets/d/1Yj_ptqi66GCucihVvJfMjLAmec39IyEx_6qawtMGysU/edit?usp=sharing"",""สบก!CQ75"")"),123640)</f>
        <v>123640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IFERROR(__xludf.DUMMYFUNCTION("IMPORTRANGE(""https://docs.google.com/spreadsheets/d/1SX6NBoVAgQJ6U1MVXOaj8PK2l7WJ3RER9xtqwdhxkhw/edit?usp=sharing"",""สระแก้ว!J205"")"),0)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IFERROR(__xludf.DUMMYFUNCTION("IMPORTRANGE(""https://docs.google.com/spreadsheets/d/1SX6NBoVAgQJ6U1MVXOaj8PK2l7WJ3RER9xtqwdhxkhw/edit?usp=sharing"",""สระแก้ว!J206"")"),1)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IFERROR(__xludf.DUMMYFUNCTION("IMPORTRANGE(""https://docs.google.com/spreadsheets/d/1SX6NBoVAgQJ6U1MVXOaj8PK2l7WJ3RER9xtqwdhxkhw/edit?usp=sharing"",""สระแก้ว!J207"")"),1)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IFERROR(__xludf.DUMMYFUNCTION("IMPORTRANGE(""https://docs.google.com/spreadsheets/d/1SX6NBoVAgQJ6U1MVXOaj8PK2l7WJ3RER9xtqwdhxkhw/edit?usp=sharing"",""สระแก้ว!J208"")"),1)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IFERROR(__xludf.DUMMYFUNCTION("IMPORTRANGE(""https://docs.google.com/spreadsheets/d/1SX6NBoVAgQJ6U1MVXOaj8PK2l7WJ3RER9xtqwdhxkhw/edit?usp=sharing"",""สระแก้ว!I209"")"),40)</f>
        <v>40</v>
      </c>
      <c r="J304" s="204">
        <f ca="1">IFERROR(__xludf.DUMMYFUNCTION("IMPORTRANGE(""https://docs.google.com/spreadsheets/d/1SX6NBoVAgQJ6U1MVXOaj8PK2l7WJ3RER9xtqwdhxkhw/edit?usp=sharing"",""สระแก้ว!J209"")"),40)</f>
        <v>40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IFERROR(__xludf.DUMMYFUNCTION("IMPORTRANGE(""https://docs.google.com/spreadsheets/d/1SX6NBoVAgQJ6U1MVXOaj8PK2l7WJ3RER9xtqwdhxkhw/edit?usp=sharing"",""สระแก้ว!I211"")"),40)</f>
        <v>40</v>
      </c>
      <c r="J306" s="204">
        <f ca="1">IFERROR(__xludf.DUMMYFUNCTION("IMPORTRANGE(""https://docs.google.com/spreadsheets/d/1SX6NBoVAgQJ6U1MVXOaj8PK2l7WJ3RER9xtqwdhxkhw/edit?usp=sharing"",""สระแก้ว!J211"")"),40)</f>
        <v>40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IFERROR(__xludf.DUMMYFUNCTION("IMPORTRANGE(""https://docs.google.com/spreadsheets/d/1SX6NBoVAgQJ6U1MVXOaj8PK2l7WJ3RER9xtqwdhxkhw/edit?usp=sharing"",""สระแก้ว!J212"")"),0)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IFERROR(__xludf.DUMMYFUNCTION("IMPORTRANGE(""https://docs.google.com/spreadsheets/d/1SX6NBoVAgQJ6U1MVXOaj8PK2l7WJ3RER9xtqwdhxkhw/edit?usp=sharing"",""สระแก้ว!J213"")"),0)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IFERROR(__xludf.DUMMYFUNCTION("IMPORTRANGE(""https://docs.google.com/spreadsheets/d/1SX6NBoVAgQJ6U1MVXOaj8PK2l7WJ3RER9xtqwdhxkhw/edit?usp=sharing"",""สระแก้ว!I214"")"),10)</f>
        <v>10</v>
      </c>
      <c r="J309" s="334">
        <f ca="1">IFERROR(__xludf.DUMMYFUNCTION("IMPORTRANGE(""https://docs.google.com/spreadsheets/d/1SX6NBoVAgQJ6U1MVXOaj8PK2l7WJ3RER9xtqwdhxkhw/edit?usp=sharing"",""สระแก้ว!J214"")"),7)</f>
        <v>7</v>
      </c>
      <c r="K309" s="335">
        <f ca="1">IF(I309&gt;0,J309*100/I309,0)</f>
        <v>70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395600</v>
      </c>
      <c r="M310" s="152">
        <f t="shared" ca="1" si="93"/>
        <v>296700</v>
      </c>
      <c r="N310" s="152">
        <f t="shared" ca="1" si="93"/>
        <v>121380</v>
      </c>
      <c r="O310" s="151">
        <f t="shared" ref="O310:O312" ca="1" si="94">IF(L310&gt;0,N310*100/L310,0)</f>
        <v>30.682507583417593</v>
      </c>
      <c r="P310" s="151">
        <f t="shared" ref="P310:P312" ca="1" si="95">IF(M310&gt;0,N310*100/M310,0)</f>
        <v>40.910010111223457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395600</v>
      </c>
      <c r="M312" s="157">
        <f t="shared" ca="1" si="97"/>
        <v>296700</v>
      </c>
      <c r="N312" s="157">
        <f t="shared" ca="1" si="97"/>
        <v>121380</v>
      </c>
      <c r="O312" s="156">
        <f t="shared" ca="1" si="94"/>
        <v>30.682507583417593</v>
      </c>
      <c r="P312" s="156">
        <f t="shared" ca="1" si="95"/>
        <v>40.910010111223457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395600</v>
      </c>
      <c r="M314" s="168">
        <f ca="1">IFERROR(__xludf.DUMMYFUNCTION("IMPORTRANGE(""https://docs.google.com/spreadsheets/d/1Yj_ptqi66GCucihVvJfMjLAmec39IyEx_6qawtMGysU/edit?usp=sharing"",""สบก!DC75"")"),296700)</f>
        <v>296700</v>
      </c>
      <c r="N314" s="169">
        <f ca="1">IFERROR(__xludf.DUMMYFUNCTION("IMPORTRANGE(""https://docs.google.com/spreadsheets/d/1Yj_ptqi66GCucihVvJfMjLAmec39IyEx_6qawtMGysU/edit?usp=sharing"",""สบก!DD75"")"),121380)</f>
        <v>121380</v>
      </c>
      <c r="O314" s="169">
        <f ca="1">IF(L314&gt;0,N314*100/L314,0)</f>
        <v>30.682507583417593</v>
      </c>
      <c r="P314" s="169">
        <f ca="1">IF(M314&gt;0,N314*100/M314,0)</f>
        <v>40.910010111223457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IFERROR(__xludf.DUMMYFUNCTION("IMPORTRANGE(""https://docs.google.com/spreadsheets/d/1Yj_ptqi66GCucihVvJfMjLAmec39IyEx_6qawtMGysU/edit?usp=sharing"",""สบก!CZ75"")"),395600)</f>
        <v>395600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IFERROR(__xludf.DUMMYFUNCTION("IMPORTRANGE(""https://docs.google.com/spreadsheets/d/1SX6NBoVAgQJ6U1MVXOaj8PK2l7WJ3RER9xtqwdhxkhw/edit?usp=sharing"",""สระแก้ว!J220"")"),0)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IFERROR(__xludf.DUMMYFUNCTION("IMPORTRANGE(""https://docs.google.com/spreadsheets/d/1SX6NBoVAgQJ6U1MVXOaj8PK2l7WJ3RER9xtqwdhxkhw/edit?usp=sharing"",""สระแก้ว!J221"")"),1)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IFERROR(__xludf.DUMMYFUNCTION("IMPORTRANGE(""https://docs.google.com/spreadsheets/d/1SX6NBoVAgQJ6U1MVXOaj8PK2l7WJ3RER9xtqwdhxkhw/edit?usp=sharing"",""สระแก้ว!J222"")"),1)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IFERROR(__xludf.DUMMYFUNCTION("IMPORTRANGE(""https://docs.google.com/spreadsheets/d/1SX6NBoVAgQJ6U1MVXOaj8PK2l7WJ3RER9xtqwdhxkhw/edit?usp=sharing"",""สระแก้ว!J223"")"),1)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IFERROR(__xludf.DUMMYFUNCTION("IMPORTRANGE(""https://docs.google.com/spreadsheets/d/1SX6NBoVAgQJ6U1MVXOaj8PK2l7WJ3RER9xtqwdhxkhw/edit?usp=sharing"",""สระแก้ว!I224"")"),10)</f>
        <v>10</v>
      </c>
      <c r="J324" s="204">
        <f ca="1">IFERROR(__xludf.DUMMYFUNCTION("IMPORTRANGE(""https://docs.google.com/spreadsheets/d/1SX6NBoVAgQJ6U1MVXOaj8PK2l7WJ3RER9xtqwdhxkhw/edit?usp=sharing"",""สระแก้ว!J224"")"),7)</f>
        <v>7</v>
      </c>
      <c r="K324" s="225">
        <f ca="1">IF(I324&gt;0,J324*100/I324,0)</f>
        <v>70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IFERROR(__xludf.DUMMYFUNCTION("IMPORTRANGE(""https://docs.google.com/spreadsheets/d/1SX6NBoVAgQJ6U1MVXOaj8PK2l7WJ3RER9xtqwdhxkhw/edit?usp=sharing"",""สระแก้ว!J225"")"),0)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IFERROR(__xludf.DUMMYFUNCTION("IMPORTRANGE(""https://docs.google.com/spreadsheets/d/1SX6NBoVAgQJ6U1MVXOaj8PK2l7WJ3RER9xtqwdhxkhw/edit?usp=sharing"",""สระแก้ว!J226"")"),0)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IFERROR(__xludf.DUMMYFUNCTION("IMPORTRANGE(""https://docs.google.com/spreadsheets/d/1SX6NBoVAgQJ6U1MVXOaj8PK2l7WJ3RER9xtqwdhxkhw/edit?usp=sharing"",""สระแก้ว!I228"")"),955)</f>
        <v>955</v>
      </c>
      <c r="J328" s="340">
        <f ca="1">IFERROR(__xludf.DUMMYFUNCTION("IMPORTRANGE(""https://docs.google.com/spreadsheets/d/1SX6NBoVAgQJ6U1MVXOaj8PK2l7WJ3RER9xtqwdhxkhw/edit?usp=sharing"",""สระแก้ว!J228"")"),620)</f>
        <v>620</v>
      </c>
      <c r="K328" s="318">
        <f ca="1">IF(I328&gt;0,J328*100/I328,0)</f>
        <v>64.921465968586389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1514540</v>
      </c>
      <c r="M329" s="152">
        <f t="shared" ca="1" si="98"/>
        <v>1351170</v>
      </c>
      <c r="N329" s="152">
        <f t="shared" ca="1" si="98"/>
        <v>1111086.1800000002</v>
      </c>
      <c r="O329" s="151">
        <f t="shared" ref="O329:O331" ca="1" si="99">IF(L329&gt;0,N329*100/L329,0)</f>
        <v>73.361296499267112</v>
      </c>
      <c r="P329" s="151">
        <f t="shared" ref="P329:P331" ca="1" si="100">IF(M329&gt;0,N329*100/M329,0)</f>
        <v>82.231412775594492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1514540</v>
      </c>
      <c r="M331" s="157">
        <f t="shared" ca="1" si="102"/>
        <v>1351170</v>
      </c>
      <c r="N331" s="157">
        <f t="shared" ca="1" si="102"/>
        <v>1111086.1800000002</v>
      </c>
      <c r="O331" s="156">
        <f t="shared" ca="1" si="99"/>
        <v>73.361296499267112</v>
      </c>
      <c r="P331" s="156">
        <f t="shared" ca="1" si="100"/>
        <v>82.231412775594492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1367540</v>
      </c>
      <c r="M333" s="168">
        <f ca="1">IFERROR(__xludf.DUMMYFUNCTION("IMPORTRANGE(""https://docs.google.com/spreadsheets/d/1Yj_ptqi66GCucihVvJfMjLAmec39IyEx_6qawtMGysU/edit?usp=sharing"",""สบก!DL75"")"),1204170)</f>
        <v>1204170</v>
      </c>
      <c r="N333" s="169">
        <f ca="1">IFERROR(__xludf.DUMMYFUNCTION("IMPORTRANGE(""https://docs.google.com/spreadsheets/d/1Yj_ptqi66GCucihVvJfMjLAmec39IyEx_6qawtMGysU/edit?usp=sharing"",""สบก!DM75"")"),964086.18)</f>
        <v>964086.18</v>
      </c>
      <c r="O333" s="169">
        <f ca="1">IF(L333&gt;0,N333*100/L333,0)</f>
        <v>70.497841379411199</v>
      </c>
      <c r="P333" s="169">
        <f ca="1">IF(M333&gt;0,N333*100/M333,0)</f>
        <v>80.062298512668477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IFERROR(__xludf.DUMMYFUNCTION("IMPORTRANGE(""https://docs.google.com/spreadsheets/d/1Yj_ptqi66GCucihVvJfMjLAmec39IyEx_6qawtMGysU/edit?usp=sharing"",""สบก!DH75"")"),306000)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IFERROR(__xludf.DUMMYFUNCTION("IMPORTRANGE(""https://docs.google.com/spreadsheets/d/1Yj_ptqi66GCucihVvJfMjLAmec39IyEx_6qawtMGysU/edit?usp=sharing"",""สบก!DI75"")"),1061540)</f>
        <v>1061540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IFERROR(__xludf.DUMMYFUNCTION("IMPORTRANGE(""https://docs.google.com/spreadsheets/d/1SX6NBoVAgQJ6U1MVXOaj8PK2l7WJ3RER9xtqwdhxkhw/edit?usp=sharing"",""สระแก้ว!I234"")"),0)</f>
        <v>0</v>
      </c>
      <c r="J339" s="188">
        <f ca="1">IFERROR(__xludf.DUMMYFUNCTION("IMPORTRANGE(""https://docs.google.com/spreadsheets/d/1SX6NBoVAgQJ6U1MVXOaj8PK2l7WJ3RER9xtqwdhxkhw/edit?usp=sharing"",""สระแก้ว!J234"")"),501)</f>
        <v>501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IFERROR(__xludf.DUMMYFUNCTION("IMPORTRANGE(""https://docs.google.com/spreadsheets/d/1SX6NBoVAgQJ6U1MVXOaj8PK2l7WJ3RER9xtqwdhxkhw/edit?usp=sharing"",""สระแก้ว!I235"")"),8720)</f>
        <v>8720</v>
      </c>
      <c r="J340" s="188">
        <f ca="1">IFERROR(__xludf.DUMMYFUNCTION("IMPORTRANGE(""https://docs.google.com/spreadsheets/d/1SX6NBoVAgQJ6U1MVXOaj8PK2l7WJ3RER9xtqwdhxkhw/edit?usp=sharing"",""สระแก้ว!J235"")"),5739.63)</f>
        <v>5739.63</v>
      </c>
      <c r="K340" s="343">
        <f t="shared" ca="1" si="103"/>
        <v>65.821444954128438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IFERROR(__xludf.DUMMYFUNCTION("IMPORTRANGE(""https://docs.google.com/spreadsheets/d/1SX6NBoVAgQJ6U1MVXOaj8PK2l7WJ3RER9xtqwdhxkhw/edit?usp=sharing"",""สระแก้ว!I236"")"),955)</f>
        <v>955</v>
      </c>
      <c r="J341" s="188">
        <f ca="1">IFERROR(__xludf.DUMMYFUNCTION("IMPORTRANGE(""https://docs.google.com/spreadsheets/d/1SX6NBoVAgQJ6U1MVXOaj8PK2l7WJ3RER9xtqwdhxkhw/edit?usp=sharing"",""สระแก้ว!J236"")"),668)</f>
        <v>668</v>
      </c>
      <c r="K341" s="343">
        <f t="shared" ca="1" si="103"/>
        <v>69.947643979057588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8">
        <f ca="1">IFERROR(__xludf.DUMMYFUNCTION("IMPORTRANGE(""https://docs.google.com/spreadsheets/d/1SX6NBoVAgQJ6U1MVXOaj8PK2l7WJ3RER9xtqwdhxkhw/edit?usp=sharing"",""สระแก้ว!J237"")"),9502.31)</f>
        <v>9502.31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IFERROR(__xludf.DUMMYFUNCTION("IMPORTRANGE(""https://docs.google.com/spreadsheets/d/1SX6NBoVAgQJ6U1MVXOaj8PK2l7WJ3RER9xtqwdhxkhw/edit?usp=sharing"",""สระแก้ว!I238"")"),955)</f>
        <v>955</v>
      </c>
      <c r="J343" s="188">
        <f ca="1">IFERROR(__xludf.DUMMYFUNCTION("IMPORTRANGE(""https://docs.google.com/spreadsheets/d/1SX6NBoVAgQJ6U1MVXOaj8PK2l7WJ3RER9xtqwdhxkhw/edit?usp=sharing"",""สระแก้ว!J238"")"),0)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8">
        <f ca="1">IFERROR(__xludf.DUMMYFUNCTION("IMPORTRANGE(""https://docs.google.com/spreadsheets/d/1SX6NBoVAgQJ6U1MVXOaj8PK2l7WJ3RER9xtqwdhxkhw/edit?usp=sharing"",""สระแก้ว!J239"")"),0)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IFERROR(__xludf.DUMMYFUNCTION("IMPORTRANGE(""https://docs.google.com/spreadsheets/d/1SX6NBoVAgQJ6U1MVXOaj8PK2l7WJ3RER9xtqwdhxkhw/edit?usp=sharing"",""สระแก้ว!I240"")"),955)</f>
        <v>955</v>
      </c>
      <c r="J345" s="188">
        <f ca="1">IFERROR(__xludf.DUMMYFUNCTION("IMPORTRANGE(""https://docs.google.com/spreadsheets/d/1SX6NBoVAgQJ6U1MVXOaj8PK2l7WJ3RER9xtqwdhxkhw/edit?usp=sharing"",""สระแก้ว!J240"")"),620)</f>
        <v>620</v>
      </c>
      <c r="K345" s="343">
        <f t="shared" ca="1" si="103"/>
        <v>64.921465968586389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8">
        <f ca="1">IFERROR(__xludf.DUMMYFUNCTION("IMPORTRANGE(""https://docs.google.com/spreadsheets/d/1SX6NBoVAgQJ6U1MVXOaj8PK2l7WJ3RER9xtqwdhxkhw/edit?usp=sharing"",""สระแก้ว!J241"")"),8910.54)</f>
        <v>8910.5400000000009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IFERROR(__xludf.DUMMYFUNCTION("IMPORTRANGE(""https://docs.google.com/spreadsheets/d/1SX6NBoVAgQJ6U1MVXOaj8PK2l7WJ3RER9xtqwdhxkhw/edit?usp=sharing"",""สระแก้ว!L242"")"),2853278)</f>
        <v>2853278</v>
      </c>
      <c r="M347" s="358"/>
      <c r="N347" s="358">
        <f ca="1">IFERROR(__xludf.DUMMYFUNCTION("IMPORTRANGE(""https://docs.google.com/spreadsheets/d/1SX6NBoVAgQJ6U1MVXOaj8PK2l7WJ3RER9xtqwdhxkhw/edit?usp=sharing"",""สระแก้ว!M242"")"),1104031.65)</f>
        <v>1104031.6499999999</v>
      </c>
      <c r="O347" s="358">
        <f ca="1">+IF(L347&gt;0,N347*100/L347,0)</f>
        <v>38.693448377620399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IFERROR(__xludf.DUMMYFUNCTION("IMPORTRANGE(""https://docs.google.com/spreadsheets/d/1SX6NBoVAgQJ6U1MVXOaj8PK2l7WJ3RER9xtqwdhxkhw/edit?usp=sharing"",""สระแก้ว!L246"")"),0)</f>
        <v>0</v>
      </c>
      <c r="M351" s="164"/>
      <c r="N351" s="164">
        <f ca="1">IFERROR(__xludf.DUMMYFUNCTION("IMPORTRANGE(""https://docs.google.com/spreadsheets/d/1SX6NBoVAgQJ6U1MVXOaj8PK2l7WJ3RER9xtqwdhxkhw/edit?usp=sharing"",""สระแก้ว!M246"")"),0)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IFERROR(__xludf.DUMMYFUNCTION("IMPORTRANGE(""https://docs.google.com/spreadsheets/d/1SX6NBoVAgQJ6U1MVXOaj8PK2l7WJ3RER9xtqwdhxkhw/edit?usp=sharing"",""สระแก้ว!L247"")"),0)</f>
        <v>0</v>
      </c>
      <c r="M352" s="165"/>
      <c r="N352" s="164">
        <f ca="1">IFERROR(__xludf.DUMMYFUNCTION("IMPORTRANGE(""https://docs.google.com/spreadsheets/d/1SX6NBoVAgQJ6U1MVXOaj8PK2l7WJ3RER9xtqwdhxkhw/edit?usp=sharing"",""สระแก้ว!M247"")"),0)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IFERROR(__xludf.DUMMYFUNCTION("IMPORTRANGE(""https://docs.google.com/spreadsheets/d/1SX6NBoVAgQJ6U1MVXOaj8PK2l7WJ3RER9xtqwdhxkhw/edit?usp=sharing"",""สระแก้ว!L248"")"),0)</f>
        <v>0</v>
      </c>
      <c r="M353" s="169"/>
      <c r="N353" s="169">
        <f ca="1">IFERROR(__xludf.DUMMYFUNCTION("IMPORTRANGE(""https://docs.google.com/spreadsheets/d/1SX6NBoVAgQJ6U1MVXOaj8PK2l7WJ3RER9xtqwdhxkhw/edit?usp=sharing"",""สระแก้ว!M248"")"),0)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IFERROR(__xludf.DUMMYFUNCTION("IMPORTRANGE(""https://docs.google.com/spreadsheets/d/1SX6NBoVAgQJ6U1MVXOaj8PK2l7WJ3RER9xtqwdhxkhw/edit?usp=sharing"",""สระแก้ว!L249"")"),0)</f>
        <v>0</v>
      </c>
      <c r="M354" s="169"/>
      <c r="N354" s="168">
        <f ca="1">IFERROR(__xludf.DUMMYFUNCTION("IMPORTRANGE(""https://docs.google.com/spreadsheets/d/1SX6NBoVAgQJ6U1MVXOaj8PK2l7WJ3RER9xtqwdhxkhw/edit?usp=sharing"",""สระแก้ว!M249"")"),0)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IFERROR(__xludf.DUMMYFUNCTION("IMPORTRANGE(""https://docs.google.com/spreadsheets/d/1SX6NBoVAgQJ6U1MVXOaj8PK2l7WJ3RER9xtqwdhxkhw/edit?usp=sharing"",""สระแก้ว!J255"")"),0)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IFERROR(__xludf.DUMMYFUNCTION("IMPORTRANGE(""https://docs.google.com/spreadsheets/d/1SX6NBoVAgQJ6U1MVXOaj8PK2l7WJ3RER9xtqwdhxkhw/edit?usp=sharing"",""สระแก้ว!J256"")"),0)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IFERROR(__xludf.DUMMYFUNCTION("IMPORTRANGE(""https://docs.google.com/spreadsheets/d/1SX6NBoVAgQJ6U1MVXOaj8PK2l7WJ3RER9xtqwdhxkhw/edit?usp=sharing"",""สระแก้ว!J257"")"),0)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IFERROR(__xludf.DUMMYFUNCTION("IMPORTRANGE(""https://docs.google.com/spreadsheets/d/1SX6NBoVAgQJ6U1MVXOaj8PK2l7WJ3RER9xtqwdhxkhw/edit?usp=sharing"",""สระแก้ว!J258"")"),0)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IFERROR(__xludf.DUMMYFUNCTION("IMPORTRANGE(""https://docs.google.com/spreadsheets/d/1SX6NBoVAgQJ6U1MVXOaj8PK2l7WJ3RER9xtqwdhxkhw/edit?usp=sharing"",""สระแก้ว!J166"")"),0)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IFERROR(__xludf.DUMMYFUNCTION("IMPORTRANGE(""https://docs.google.com/spreadsheets/d/1SX6NBoVAgQJ6U1MVXOaj8PK2l7WJ3RER9xtqwdhxkhw/edit?usp=sharing"",""สระแก้ว!J166"")"),0)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IFERROR(__xludf.DUMMYFUNCTION("IMPORTRANGE(""https://docs.google.com/spreadsheets/d/1SX6NBoVAgQJ6U1MVXOaj8PK2l7WJ3RER9xtqwdhxkhw/edit?usp=sharing"",""สระแก้ว!J166"")"),0)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IFERROR(__xludf.DUMMYFUNCTION("IMPORTRANGE(""https://docs.google.com/spreadsheets/d/1SX6NBoVAgQJ6U1MVXOaj8PK2l7WJ3RER9xtqwdhxkhw/edit?usp=sharing"",""สระแก้ว!J166"")"),0)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IFERROR(__xludf.DUMMYFUNCTION("IMPORTRANGE(""https://docs.google.com/spreadsheets/d/1SX6NBoVAgQJ6U1MVXOaj8PK2l7WJ3RER9xtqwdhxkhw/edit?usp=sharing"",""สระแก้ว!I263"")"),0)</f>
        <v>0</v>
      </c>
      <c r="J368" s="188">
        <f ca="1">IFERROR(__xludf.DUMMYFUNCTION("IMPORTRANGE(""https://docs.google.com/spreadsheets/d/1SX6NBoVAgQJ6U1MVXOaj8PK2l7WJ3RER9xtqwdhxkhw/edit?usp=sharing"",""สระแก้ว!J263"")"),0)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IFERROR(__xludf.DUMMYFUNCTION("IMPORTRANGE(""https://docs.google.com/spreadsheets/d/1SX6NBoVAgQJ6U1MVXOaj8PK2l7WJ3RER9xtqwdhxkhw/edit?usp=sharing"",""สระแก้ว!I164"")"),0)</f>
        <v>0</v>
      </c>
      <c r="J369" s="204">
        <f ca="1">IFERROR(__xludf.DUMMYFUNCTION("IMPORTRANGE(""https://docs.google.com/spreadsheets/d/1SX6NBoVAgQJ6U1MVXOaj8PK2l7WJ3RER9xtqwdhxkhw/edit?usp=sharing"",""สระแก้ว!J164"")"),0)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IFERROR(__xludf.DUMMYFUNCTION("IMPORTRANGE(""https://docs.google.com/spreadsheets/d/1SX6NBoVAgQJ6U1MVXOaj8PK2l7WJ3RER9xtqwdhxkhw/edit?usp=sharing"",""สระแก้ว!I265"")"),0)</f>
        <v>0</v>
      </c>
      <c r="J370" s="204">
        <f ca="1">IFERROR(__xludf.DUMMYFUNCTION("IMPORTRANGE(""https://docs.google.com/spreadsheets/d/1SX6NBoVAgQJ6U1MVXOaj8PK2l7WJ3RER9xtqwdhxkhw/edit?usp=sharing"",""สระแก้ว!J265"")"),0)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IFERROR(__xludf.DUMMYFUNCTION("IMPORTRANGE(""https://docs.google.com/spreadsheets/d/1SX6NBoVAgQJ6U1MVXOaj8PK2l7WJ3RER9xtqwdhxkhw/edit?usp=sharing"",""สระแก้ว!I164"")"),0)</f>
        <v>0</v>
      </c>
      <c r="J371" s="189">
        <f ca="1">IFERROR(__xludf.DUMMYFUNCTION("IMPORTRANGE(""https://docs.google.com/spreadsheets/d/1SX6NBoVAgQJ6U1MVXOaj8PK2l7WJ3RER9xtqwdhxkhw/edit?usp=sharing"",""สระแก้ว!J164"")"),0)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IFERROR(__xludf.DUMMYFUNCTION("IMPORTRANGE(""https://docs.google.com/spreadsheets/d/1SX6NBoVAgQJ6U1MVXOaj8PK2l7WJ3RER9xtqwdhxkhw/edit?usp=sharing"",""สระแก้ว!I267"")"),0)</f>
        <v>0</v>
      </c>
      <c r="J372" s="189">
        <f ca="1">IFERROR(__xludf.DUMMYFUNCTION("IMPORTRANGE(""https://docs.google.com/spreadsheets/d/1SX6NBoVAgQJ6U1MVXOaj8PK2l7WJ3RER9xtqwdhxkhw/edit?usp=sharing"",""สระแก้ว!J267"")"),0)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IFERROR(__xludf.DUMMYFUNCTION("IMPORTRANGE(""https://docs.google.com/spreadsheets/d/1SX6NBoVAgQJ6U1MVXOaj8PK2l7WJ3RER9xtqwdhxkhw/edit?usp=sharing"",""สระแก้ว!I164"")"),0)</f>
        <v>0</v>
      </c>
      <c r="J373" s="204">
        <f ca="1">IFERROR(__xludf.DUMMYFUNCTION("IMPORTRANGE(""https://docs.google.com/spreadsheets/d/1SX6NBoVAgQJ6U1MVXOaj8PK2l7WJ3RER9xtqwdhxkhw/edit?usp=sharing"",""สระแก้ว!J164"")"),0)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IFERROR(__xludf.DUMMYFUNCTION("IMPORTRANGE(""https://docs.google.com/spreadsheets/d/1SX6NBoVAgQJ6U1MVXOaj8PK2l7WJ3RER9xtqwdhxkhw/edit?usp=sharing"",""สระแก้ว!I164"")"),0)</f>
        <v>0</v>
      </c>
      <c r="J374" s="188">
        <f ca="1">IFERROR(__xludf.DUMMYFUNCTION("IMPORTRANGE(""https://docs.google.com/spreadsheets/d/1SX6NBoVAgQJ6U1MVXOaj8PK2l7WJ3RER9xtqwdhxkhw/edit?usp=sharing"",""สระแก้ว!J164"")"),0)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IFERROR(__xludf.DUMMYFUNCTION("IMPORTRANGE(""https://docs.google.com/spreadsheets/d/1SX6NBoVAgQJ6U1MVXOaj8PK2l7WJ3RER9xtqwdhxkhw/edit?usp=sharing"",""สระแก้ว!I270"")"),0)</f>
        <v>0</v>
      </c>
      <c r="J375" s="188">
        <f ca="1">IFERROR(__xludf.DUMMYFUNCTION("IMPORTRANGE(""https://docs.google.com/spreadsheets/d/1SX6NBoVAgQJ6U1MVXOaj8PK2l7WJ3RER9xtqwdhxkhw/edit?usp=sharing"",""สระแก้ว!J270"")"),0)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IFERROR(__xludf.DUMMYFUNCTION("IMPORTRANGE(""https://docs.google.com/spreadsheets/d/1SX6NBoVAgQJ6U1MVXOaj8PK2l7WJ3RER9xtqwdhxkhw/edit?usp=sharing"",""สระแก้ว!I271"")"),0)</f>
        <v>0</v>
      </c>
      <c r="J376" s="189">
        <f ca="1">IFERROR(__xludf.DUMMYFUNCTION("IMPORTRANGE(""https://docs.google.com/spreadsheets/d/1SX6NBoVAgQJ6U1MVXOaj8PK2l7WJ3RER9xtqwdhxkhw/edit?usp=sharing"",""สระแก้ว!J271"")"),0)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IFERROR(__xludf.DUMMYFUNCTION("IMPORTRANGE(""https://docs.google.com/spreadsheets/d/1SX6NBoVAgQJ6U1MVXOaj8PK2l7WJ3RER9xtqwdhxkhw/edit?usp=sharing"",""สระแก้ว!I272"")"),0)</f>
        <v>0</v>
      </c>
      <c r="J377" s="204">
        <f ca="1">IFERROR(__xludf.DUMMYFUNCTION("IMPORTRANGE(""https://docs.google.com/spreadsheets/d/1SX6NBoVAgQJ6U1MVXOaj8PK2l7WJ3RER9xtqwdhxkhw/edit?usp=sharing"",""สระแก้ว!J272"")"),0)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IFERROR(__xludf.DUMMYFUNCTION("IMPORTRANGE(""https://docs.google.com/spreadsheets/d/1SX6NBoVAgQJ6U1MVXOaj8PK2l7WJ3RER9xtqwdhxkhw/edit?usp=sharing"",""สระแก้ว!J273"")"),0)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IFERROR(__xludf.DUMMYFUNCTION("IMPORTRANGE(""https://docs.google.com/spreadsheets/d/1SX6NBoVAgQJ6U1MVXOaj8PK2l7WJ3RER9xtqwdhxkhw/edit?usp=sharing"",""สระแก้ว!J274"")"),0)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IFERROR(__xludf.DUMMYFUNCTION("IMPORTRANGE(""https://docs.google.com/spreadsheets/d/1SX6NBoVAgQJ6U1MVXOaj8PK2l7WJ3RER9xtqwdhxkhw/edit?usp=sharing"",""สระแก้ว!M275"")"),312559.17)</f>
        <v>312559.17</v>
      </c>
      <c r="O380" s="373">
        <f ca="1">+IF(L380&gt;0,N380*100/L380,0)</f>
        <v>30.38921654416054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IFERROR(__xludf.DUMMYFUNCTION("IMPORTRANGE(""https://docs.google.com/spreadsheets/d/1SX6NBoVAgQJ6U1MVXOaj8PK2l7WJ3RER9xtqwdhxkhw/edit?usp=sharing"",""สระแก้ว!L277"")"),0)</f>
        <v>0</v>
      </c>
      <c r="M382" s="164"/>
      <c r="N382" s="164">
        <f ca="1">IFERROR(__xludf.DUMMYFUNCTION("IMPORTRANGE(""https://docs.google.com/spreadsheets/d/1SX6NBoVAgQJ6U1MVXOaj8PK2l7WJ3RER9xtqwdhxkhw/edit?usp=sharing"",""สระแก้ว!M277"")"),0)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IFERROR(__xludf.DUMMYFUNCTION("IMPORTRANGE(""https://docs.google.com/spreadsheets/d/1SX6NBoVAgQJ6U1MVXOaj8PK2l7WJ3RER9xtqwdhxkhw/edit?usp=sharing"",""สระแก้ว!L278"")"),1028520)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IFERROR(__xludf.DUMMYFUNCTION("IMPORTRANGE(""https://docs.google.com/spreadsheets/d/1SX6NBoVAgQJ6U1MVXOaj8PK2l7WJ3RER9xtqwdhxkhw/edit?usp=sharing"",""สระแก้ว!M278"")"),312559.17)</f>
        <v>312559.17</v>
      </c>
      <c r="O383" s="165">
        <f t="shared" ca="1" si="109"/>
        <v>30.38921654416054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IFERROR(__xludf.DUMMYFUNCTION("IMPORTRANGE(""https://docs.google.com/spreadsheets/d/1SX6NBoVAgQJ6U1MVXOaj8PK2l7WJ3RER9xtqwdhxkhw/edit?usp=sharing"",""สระแก้ว!L279"")"),0)</f>
        <v>0</v>
      </c>
      <c r="M384" s="169"/>
      <c r="N384" s="169">
        <f ca="1">IFERROR(__xludf.DUMMYFUNCTION("IMPORTRANGE(""https://docs.google.com/spreadsheets/d/1SX6NBoVAgQJ6U1MVXOaj8PK2l7WJ3RER9xtqwdhxkhw/edit?usp=sharing"",""สระแก้ว!M279"")"),0)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IFERROR(__xludf.DUMMYFUNCTION("IMPORTRANGE(""https://docs.google.com/spreadsheets/d/1SX6NBoVAgQJ6U1MVXOaj8PK2l7WJ3RER9xtqwdhxkhw/edit?usp=sharing"",""สระแก้ว!L280"")"),1028520)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IFERROR(__xludf.DUMMYFUNCTION("IMPORTRANGE(""https://docs.google.com/spreadsheets/d/1SX6NBoVAgQJ6U1MVXOaj8PK2l7WJ3RER9xtqwdhxkhw/edit?usp=sharing"",""สระแก้ว!M280"")"),312559.17)</f>
        <v>312559.17</v>
      </c>
      <c r="O385" s="169">
        <f t="shared" ca="1" si="109"/>
        <v>30.38921654416054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IFERROR(__xludf.DUMMYFUNCTION("IMPORTRANGE(""https://docs.google.com/spreadsheets/d/1SX6NBoVAgQJ6U1MVXOaj8PK2l7WJ3RER9xtqwdhxkhw/edit?usp=sharing"",""สระแก้ว!M281"")"),166980)</f>
        <v>166980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IFERROR(__xludf.DUMMYFUNCTION("IMPORTRANGE(""https://docs.google.com/spreadsheets/d/1SX6NBoVAgQJ6U1MVXOaj8PK2l7WJ3RER9xtqwdhxkhw/edit?usp=sharing"",""สระแก้ว!M282"")"),0)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IFERROR(__xludf.DUMMYFUNCTION("IMPORTRANGE(""https://docs.google.com/spreadsheets/d/1SX6NBoVAgQJ6U1MVXOaj8PK2l7WJ3RER9xtqwdhxkhw/edit?usp=sharing"",""สระแก้ว!M283"")"),82639.17)</f>
        <v>82639.17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IFERROR(__xludf.DUMMYFUNCTION("IMPORTRANGE(""https://docs.google.com/spreadsheets/d/1SX6NBoVAgQJ6U1MVXOaj8PK2l7WJ3RER9xtqwdhxkhw/edit?usp=sharing"",""สระแก้ว!M284"")"),62940)</f>
        <v>62940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IFERROR(__xludf.DUMMYFUNCTION("IMPORTRANGE(""https://docs.google.com/spreadsheets/d/1SX6NBoVAgQJ6U1MVXOaj8PK2l7WJ3RER9xtqwdhxkhw/edit?usp=sharing"",""สระแก้ว!J286"")"),0)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IFERROR(__xludf.DUMMYFUNCTION("IMPORTRANGE(""https://docs.google.com/spreadsheets/d/1SX6NBoVAgQJ6U1MVXOaj8PK2l7WJ3RER9xtqwdhxkhw/edit?usp=sharing"",""สระแก้ว!J287"")"),1)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IFERROR(__xludf.DUMMYFUNCTION("IMPORTRANGE(""https://docs.google.com/spreadsheets/d/1SX6NBoVAgQJ6U1MVXOaj8PK2l7WJ3RER9xtqwdhxkhw/edit?usp=sharing"",""สระแก้ว!J288"")"),1)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IFERROR(__xludf.DUMMYFUNCTION("IMPORTRANGE(""https://docs.google.com/spreadsheets/d/1SX6NBoVAgQJ6U1MVXOaj8PK2l7WJ3RER9xtqwdhxkhw/edit?usp=sharing"",""สระแก้ว!J289"")"),1)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IFERROR(__xludf.DUMMYFUNCTION("IMPORTRANGE(""https://docs.google.com/spreadsheets/d/1SX6NBoVAgQJ6U1MVXOaj8PK2l7WJ3RER9xtqwdhxkhw/edit?usp=sharing"",""สระแก้ว!I291"")"),100)</f>
        <v>100</v>
      </c>
      <c r="J396" s="198">
        <f ca="1">IFERROR(__xludf.DUMMYFUNCTION("IMPORTRANGE(""https://docs.google.com/spreadsheets/d/1SX6NBoVAgQJ6U1MVXOaj8PK2l7WJ3RER9xtqwdhxkhw/edit?usp=sharing"",""สระแก้ว!J291"")"),100)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IFERROR(__xludf.DUMMYFUNCTION("IMPORTRANGE(""https://docs.google.com/spreadsheets/d/1SX6NBoVAgQJ6U1MVXOaj8PK2l7WJ3RER9xtqwdhxkhw/edit?usp=sharing"",""สระแก้ว!I292"")"),1000)</f>
        <v>1000</v>
      </c>
      <c r="J397" s="198">
        <f ca="1">IFERROR(__xludf.DUMMYFUNCTION("IMPORTRANGE(""https://docs.google.com/spreadsheets/d/1SX6NBoVAgQJ6U1MVXOaj8PK2l7WJ3RER9xtqwdhxkhw/edit?usp=sharing"",""สระแก้ว!J292"")"),0)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IFERROR(__xludf.DUMMYFUNCTION("IMPORTRANGE(""https://docs.google.com/spreadsheets/d/1SX6NBoVAgQJ6U1MVXOaj8PK2l7WJ3RER9xtqwdhxkhw/edit?usp=sharing"",""สระแก้ว!I293"")"),100)</f>
        <v>100</v>
      </c>
      <c r="J398" s="198">
        <f ca="1">IFERROR(__xludf.DUMMYFUNCTION("IMPORTRANGE(""https://docs.google.com/spreadsheets/d/1SX6NBoVAgQJ6U1MVXOaj8PK2l7WJ3RER9xtqwdhxkhw/edit?usp=sharing"",""สระแก้ว!J293"")"),0)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IFERROR(__xludf.DUMMYFUNCTION("IMPORTRANGE(""https://docs.google.com/spreadsheets/d/1SX6NBoVAgQJ6U1MVXOaj8PK2l7WJ3RER9xtqwdhxkhw/edit?usp=sharing"",""สระแก้ว!J294"")"),0)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IFERROR(__xludf.DUMMYFUNCTION("IMPORTRANGE(""https://docs.google.com/spreadsheets/d/1SX6NBoVAgQJ6U1MVXOaj8PK2l7WJ3RER9xtqwdhxkhw/edit?usp=sharing"",""สระแก้ว!J295"")"),0)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IFERROR(__xludf.DUMMYFUNCTION("IMPORTRANGE(""https://docs.google.com/spreadsheets/d/1SX6NBoVAgQJ6U1MVXOaj8PK2l7WJ3RER9xtqwdhxkhw/edit?usp=sharing"",""สระแก้ว!M296"")"),120564)</f>
        <v>120564</v>
      </c>
      <c r="O401" s="373">
        <f ca="1">+IF(L401&gt;0,N401*100/L401,0)</f>
        <v>61.318278913640526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IFERROR(__xludf.DUMMYFUNCTION("IMPORTRANGE(""https://docs.google.com/spreadsheets/d/1SX6NBoVAgQJ6U1MVXOaj8PK2l7WJ3RER9xtqwdhxkhw/edit?usp=sharing"",""สระแก้ว!L298"")"),0)</f>
        <v>0</v>
      </c>
      <c r="M403" s="164"/>
      <c r="N403" s="169">
        <f ca="1">IFERROR(__xludf.DUMMYFUNCTION("IMPORTRANGE(""https://docs.google.com/spreadsheets/d/1SX6NBoVAgQJ6U1MVXOaj8PK2l7WJ3RER9xtqwdhxkhw/edit?usp=sharing"",""สระแก้ว!M298"")"),0)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IFERROR(__xludf.DUMMYFUNCTION("IMPORTRANGE(""https://docs.google.com/spreadsheets/d/1SX6NBoVAgQJ6U1MVXOaj8PK2l7WJ3RER9xtqwdhxkhw/edit?usp=sharing"",""สระแก้ว!L299"")"),196620)</f>
        <v>196620</v>
      </c>
      <c r="M404" s="165"/>
      <c r="N404" s="169">
        <f ca="1">IFERROR(__xludf.DUMMYFUNCTION("IMPORTRANGE(""https://docs.google.com/spreadsheets/d/1SX6NBoVAgQJ6U1MVXOaj8PK2l7WJ3RER9xtqwdhxkhw/edit?usp=sharing"",""สระแก้ว!M299"")"),120564)</f>
        <v>120564</v>
      </c>
      <c r="O404" s="169">
        <f t="shared" ca="1" si="112"/>
        <v>61.318278913640526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IFERROR(__xludf.DUMMYFUNCTION("IMPORTRANGE(""https://docs.google.com/spreadsheets/d/1SX6NBoVAgQJ6U1MVXOaj8PK2l7WJ3RER9xtqwdhxkhw/edit?usp=sharing"",""สระแก้ว!L300"")"),0)</f>
        <v>0</v>
      </c>
      <c r="M405" s="169"/>
      <c r="N405" s="169">
        <f ca="1">IFERROR(__xludf.DUMMYFUNCTION("IMPORTRANGE(""https://docs.google.com/spreadsheets/d/1SX6NBoVAgQJ6U1MVXOaj8PK2l7WJ3RER9xtqwdhxkhw/edit?usp=sharing"",""สระแก้ว!M300"")"),0)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IFERROR(__xludf.DUMMYFUNCTION("IMPORTRANGE(""https://docs.google.com/spreadsheets/d/1SX6NBoVAgQJ6U1MVXOaj8PK2l7WJ3RER9xtqwdhxkhw/edit?usp=sharing"",""สระแก้ว!L301"")"),196620)</f>
        <v>196620</v>
      </c>
      <c r="M406" s="169"/>
      <c r="N406" s="169">
        <f ca="1">IFERROR(__xludf.DUMMYFUNCTION("IMPORTRANGE(""https://docs.google.com/spreadsheets/d/1SX6NBoVAgQJ6U1MVXOaj8PK2l7WJ3RER9xtqwdhxkhw/edit?usp=sharing"",""สระแก้ว!M301"")"),120564)</f>
        <v>120564</v>
      </c>
      <c r="O406" s="169">
        <f t="shared" ca="1" si="112"/>
        <v>61.318278913640526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IFERROR(__xludf.DUMMYFUNCTION("IMPORTRANGE(""https://docs.google.com/spreadsheets/d/1SX6NBoVAgQJ6U1MVXOaj8PK2l7WJ3RER9xtqwdhxkhw/edit?usp=sharing"",""สระแก้ว!M302"")"),107714)</f>
        <v>107714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IFERROR(__xludf.DUMMYFUNCTION("IMPORTRANGE(""https://docs.google.com/spreadsheets/d/1SX6NBoVAgQJ6U1MVXOaj8PK2l7WJ3RER9xtqwdhxkhw/edit?usp=sharing"",""สระแก้ว!M303"")"),0)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IFERROR(__xludf.DUMMYFUNCTION("IMPORTRANGE(""https://docs.google.com/spreadsheets/d/1SX6NBoVAgQJ6U1MVXOaj8PK2l7WJ3RER9xtqwdhxkhw/edit?usp=sharing"",""สระแก้ว!M305"")"),12850)</f>
        <v>12850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IFERROR(__xludf.DUMMYFUNCTION("IMPORTRANGE(""https://docs.google.com/spreadsheets/d/1SX6NBoVAgQJ6U1MVXOaj8PK2l7WJ3RER9xtqwdhxkhw/edit?usp=sharing"",""สระแก้ว!J307"")"),0)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IFERROR(__xludf.DUMMYFUNCTION("IMPORTRANGE(""https://docs.google.com/spreadsheets/d/1SX6NBoVAgQJ6U1MVXOaj8PK2l7WJ3RER9xtqwdhxkhw/edit?usp=sharing"",""สระแก้ว!J308"")"),1)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IFERROR(__xludf.DUMMYFUNCTION("IMPORTRANGE(""https://docs.google.com/spreadsheets/d/1SX6NBoVAgQJ6U1MVXOaj8PK2l7WJ3RER9xtqwdhxkhw/edit?usp=sharing"",""สระแก้ว!J309"")"),1)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IFERROR(__xludf.DUMMYFUNCTION("IMPORTRANGE(""https://docs.google.com/spreadsheets/d/1SX6NBoVAgQJ6U1MVXOaj8PK2l7WJ3RER9xtqwdhxkhw/edit?usp=sharing"",""สระแก้ว!J310"")"),1)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IFERROR(__xludf.DUMMYFUNCTION("IMPORTRANGE(""https://docs.google.com/spreadsheets/d/1SX6NBoVAgQJ6U1MVXOaj8PK2l7WJ3RER9xtqwdhxkhw/edit?usp=sharing"",""สระแก้ว!I311"")"),65)</f>
        <v>65</v>
      </c>
      <c r="J416" s="201">
        <f ca="1">IFERROR(__xludf.DUMMYFUNCTION("IMPORTRANGE(""https://docs.google.com/spreadsheets/d/1SX6NBoVAgQJ6U1MVXOaj8PK2l7WJ3RER9xtqwdhxkhw/edit?usp=sharing"",""สระแก้ว!J311"")"),65)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IFERROR(__xludf.DUMMYFUNCTION("IMPORTRANGE(""https://docs.google.com/spreadsheets/d/1SX6NBoVAgQJ6U1MVXOaj8PK2l7WJ3RER9xtqwdhxkhw/edit?usp=sharing"",""สระแก้ว!J328"")"),0)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IFERROR(__xludf.DUMMYFUNCTION("IMPORTRANGE(""https://docs.google.com/spreadsheets/d/1SX6NBoVAgQJ6U1MVXOaj8PK2l7WJ3RER9xtqwdhxkhw/edit?usp=sharing"",""สระแก้ว!J329"")"),0)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IFERROR(__xludf.DUMMYFUNCTION("IMPORTRANGE(""https://docs.google.com/spreadsheets/d/1SX6NBoVAgQJ6U1MVXOaj8PK2l7WJ3RER9xtqwdhxkhw/edit?usp=sharing"",""สระแก้ว!M330"")"),48270)</f>
        <v>48270</v>
      </c>
      <c r="O435" s="412">
        <f t="shared" ref="O435:O439" ca="1" si="114">+IF(L435&gt;0,N435*100/L435,0)</f>
        <v>54.852272727272727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IFERROR(__xludf.DUMMYFUNCTION("IMPORTRANGE(""https://docs.google.com/spreadsheets/d/1SX6NBoVAgQJ6U1MVXOaj8PK2l7WJ3RER9xtqwdhxkhw/edit?usp=sharing"",""สระแก้ว!L331"")"),0)</f>
        <v>0</v>
      </c>
      <c r="M436" s="164"/>
      <c r="N436" s="169">
        <f ca="1">IFERROR(__xludf.DUMMYFUNCTION("IMPORTRANGE(""https://docs.google.com/spreadsheets/d/1SX6NBoVAgQJ6U1MVXOaj8PK2l7WJ3RER9xtqwdhxkhw/edit?usp=sharing"",""สระแก้ว!M331"")"),0)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IFERROR(__xludf.DUMMYFUNCTION("IMPORTRANGE(""https://docs.google.com/spreadsheets/d/1SX6NBoVAgQJ6U1MVXOaj8PK2l7WJ3RER9xtqwdhxkhw/edit?usp=sharing"",""สระแก้ว!L332"")"),88000)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IFERROR(__xludf.DUMMYFUNCTION("IMPORTRANGE(""https://docs.google.com/spreadsheets/d/1SX6NBoVAgQJ6U1MVXOaj8PK2l7WJ3RER9xtqwdhxkhw/edit?usp=sharing"",""สระแก้ว!M332"")"),48270)</f>
        <v>48270</v>
      </c>
      <c r="O437" s="169">
        <f t="shared" ca="1" si="114"/>
        <v>54.852272727272727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IFERROR(__xludf.DUMMYFUNCTION("IMPORTRANGE(""https://docs.google.com/spreadsheets/d/1SX6NBoVAgQJ6U1MVXOaj8PK2l7WJ3RER9xtqwdhxkhw/edit?usp=sharing"",""สระแก้ว!L333"")"),0)</f>
        <v>0</v>
      </c>
      <c r="M438" s="169"/>
      <c r="N438" s="169">
        <f ca="1">IFERROR(__xludf.DUMMYFUNCTION("IMPORTRANGE(""https://docs.google.com/spreadsheets/d/1SX6NBoVAgQJ6U1MVXOaj8PK2l7WJ3RER9xtqwdhxkhw/edit?usp=sharing"",""สระแก้ว!M333"")"),0)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IFERROR(__xludf.DUMMYFUNCTION("IMPORTRANGE(""https://docs.google.com/spreadsheets/d/1SX6NBoVAgQJ6U1MVXOaj8PK2l7WJ3RER9xtqwdhxkhw/edit?usp=sharing"",""สระแก้ว!L334"")"),88000)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IFERROR(__xludf.DUMMYFUNCTION("IMPORTRANGE(""https://docs.google.com/spreadsheets/d/1SX6NBoVAgQJ6U1MVXOaj8PK2l7WJ3RER9xtqwdhxkhw/edit?usp=sharing"",""สระแก้ว!M334"")"),48270)</f>
        <v>48270</v>
      </c>
      <c r="O439" s="169">
        <f t="shared" ca="1" si="114"/>
        <v>54.852272727272727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IFERROR(__xludf.DUMMYFUNCTION("IMPORTRANGE(""https://docs.google.com/spreadsheets/d/1SX6NBoVAgQJ6U1MVXOaj8PK2l7WJ3RER9xtqwdhxkhw/edit?usp=sharing"",""สระแก้ว!M335"")"),32200)</f>
        <v>32200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IFERROR(__xludf.DUMMYFUNCTION("IMPORTRANGE(""https://docs.google.com/spreadsheets/d/1SX6NBoVAgQJ6U1MVXOaj8PK2l7WJ3RER9xtqwdhxkhw/edit?usp=sharing"",""สระแก้ว!M338"")"),16070)</f>
        <v>16070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IFERROR(__xludf.DUMMYFUNCTION("IMPORTRANGE(""https://docs.google.com/spreadsheets/d/1SX6NBoVAgQJ6U1MVXOaj8PK2l7WJ3RER9xtqwdhxkhw/edit?usp=sharing"",""สระแก้ว!J340"")"),0)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IFERROR(__xludf.DUMMYFUNCTION("IMPORTRANGE(""https://docs.google.com/spreadsheets/d/1SX6NBoVAgQJ6U1MVXOaj8PK2l7WJ3RER9xtqwdhxkhw/edit?usp=sharing"",""สระแก้ว!J342"")"),1)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IFERROR(__xludf.DUMMYFUNCTION("IMPORTRANGE(""https://docs.google.com/spreadsheets/d/1SX6NBoVAgQJ6U1MVXOaj8PK2l7WJ3RER9xtqwdhxkhw/edit?usp=sharing"",""สระแก้ว!J343"")"),1)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1">
        <f ca="1">IFERROR(__xludf.DUMMYFUNCTION("IMPORTRANGE(""https://docs.google.com/spreadsheets/d/1SX6NBoVAgQJ6U1MVXOaj8PK2l7WJ3RER9xtqwdhxkhw/edit?usp=sharing"",""สระแก้ว!J344"")"),15)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IFERROR(__xludf.DUMMYFUNCTION("IMPORTRANGE(""https://docs.google.com/spreadsheets/d/1SX6NBoVAgQJ6U1MVXOaj8PK2l7WJ3RER9xtqwdhxkhw/edit?usp=sharing"",""สระแก้ว!I345"")"),15)</f>
        <v>15</v>
      </c>
      <c r="J450" s="189">
        <f ca="1">IFERROR(__xludf.DUMMYFUNCTION("IMPORTRANGE(""https://docs.google.com/spreadsheets/d/1SX6NBoVAgQJ6U1MVXOaj8PK2l7WJ3RER9xtqwdhxkhw/edit?usp=sharing"",""สระแก้ว!J345"")"),15)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IFERROR(__xludf.DUMMYFUNCTION("IMPORTRANGE(""https://docs.google.com/spreadsheets/d/1SX6NBoVAgQJ6U1MVXOaj8PK2l7WJ3RER9xtqwdhxkhw/edit?usp=sharing"",""สระแก้ว!I346"")"),0)</f>
        <v>0</v>
      </c>
      <c r="J451" s="188">
        <f ca="1">IFERROR(__xludf.DUMMYFUNCTION("IMPORTRANGE(""https://docs.google.com/spreadsheets/d/1SX6NBoVAgQJ6U1MVXOaj8PK2l7WJ3RER9xtqwdhxkhw/edit?usp=sharing"",""สระแก้ว!J346"")"),0)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IFERROR(__xludf.DUMMYFUNCTION("IMPORTRANGE(""https://docs.google.com/spreadsheets/d/1SX6NBoVAgQJ6U1MVXOaj8PK2l7WJ3RER9xtqwdhxkhw/edit?usp=sharing"",""สระแก้ว!I347"")"),0)</f>
        <v>0</v>
      </c>
      <c r="J452" s="188">
        <f ca="1">IFERROR(__xludf.DUMMYFUNCTION("IMPORTRANGE(""https://docs.google.com/spreadsheets/d/1SX6NBoVAgQJ6U1MVXOaj8PK2l7WJ3RER9xtqwdhxkhw/edit?usp=sharing"",""สระแก้ว!J347"")"),0)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IFERROR(__xludf.DUMMYFUNCTION("IMPORTRANGE(""https://docs.google.com/spreadsheets/d/1SX6NBoVAgQJ6U1MVXOaj8PK2l7WJ3RER9xtqwdhxkhw/edit?usp=sharing"",""สระแก้ว!J348"")"),0)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IFERROR(__xludf.DUMMYFUNCTION("IMPORTRANGE(""https://docs.google.com/spreadsheets/d/1SX6NBoVAgQJ6U1MVXOaj8PK2l7WJ3RER9xtqwdhxkhw/edit?usp=sharing"",""สระแก้ว!J349"")"),0)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IFERROR(__xludf.DUMMYFUNCTION("IMPORTRANGE(""https://docs.google.com/spreadsheets/d/1SX6NBoVAgQJ6U1MVXOaj8PK2l7WJ3RER9xtqwdhxkhw/edit?usp=sharing"",""สระแก้ว!J350"")"),63631)</f>
        <v>63631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IFERROR(__xludf.DUMMYFUNCTION("IMPORTRANGE(""https://docs.google.com/spreadsheets/d/1SX6NBoVAgQJ6U1MVXOaj8PK2l7WJ3RER9xtqwdhxkhw/edit?usp=sharing"",""สระแก้ว!L350"")"),956735)</f>
        <v>956735</v>
      </c>
      <c r="M455" s="373"/>
      <c r="N455" s="373">
        <f ca="1">IFERROR(__xludf.DUMMYFUNCTION("IMPORTRANGE(""https://docs.google.com/spreadsheets/d/1SX6NBoVAgQJ6U1MVXOaj8PK2l7WJ3RER9xtqwdhxkhw/edit?usp=sharing"",""สระแก้ว!M350"")"),330817.41)</f>
        <v>330817.40999999997</v>
      </c>
      <c r="O455" s="373">
        <f t="shared" ref="O455:O459" ca="1" si="116">+IF(L455&gt;0,N455*100/L455,0)</f>
        <v>34.57774723408258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IFERROR(__xludf.DUMMYFUNCTION("IMPORTRANGE(""https://docs.google.com/spreadsheets/d/1SX6NBoVAgQJ6U1MVXOaj8PK2l7WJ3RER9xtqwdhxkhw/edit?usp=sharing"",""สระแก้ว!L351"")"),0)</f>
        <v>0</v>
      </c>
      <c r="M456" s="164"/>
      <c r="N456" s="169">
        <f ca="1">IFERROR(__xludf.DUMMYFUNCTION("IMPORTRANGE(""https://docs.google.com/spreadsheets/d/1SX6NBoVAgQJ6U1MVXOaj8PK2l7WJ3RER9xtqwdhxkhw/edit?usp=sharing"",""สระแก้ว!M351"")"),0)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IFERROR(__xludf.DUMMYFUNCTION("IMPORTRANGE(""https://docs.google.com/spreadsheets/d/1SX6NBoVAgQJ6U1MVXOaj8PK2l7WJ3RER9xtqwdhxkhw/edit?usp=sharing"",""สระแก้ว!L352"")"),956735)</f>
        <v>956735</v>
      </c>
      <c r="M457" s="165"/>
      <c r="N457" s="169">
        <f ca="1">IFERROR(__xludf.DUMMYFUNCTION("IMPORTRANGE(""https://docs.google.com/spreadsheets/d/1SX6NBoVAgQJ6U1MVXOaj8PK2l7WJ3RER9xtqwdhxkhw/edit?usp=sharing"",""สระแก้ว!M352"")"),330817.41)</f>
        <v>330817.40999999997</v>
      </c>
      <c r="O457" s="169">
        <f t="shared" ca="1" si="116"/>
        <v>34.57774723408258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IFERROR(__xludf.DUMMYFUNCTION("IMPORTRANGE(""https://docs.google.com/spreadsheets/d/1SX6NBoVAgQJ6U1MVXOaj8PK2l7WJ3RER9xtqwdhxkhw/edit?usp=sharing"",""สระแก้ว!L353"")"),0)</f>
        <v>0</v>
      </c>
      <c r="M458" s="169"/>
      <c r="N458" s="169">
        <f ca="1">IFERROR(__xludf.DUMMYFUNCTION("IMPORTRANGE(""https://docs.google.com/spreadsheets/d/1SX6NBoVAgQJ6U1MVXOaj8PK2l7WJ3RER9xtqwdhxkhw/edit?usp=sharing"",""สระแก้ว!M353"")"),0)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IFERROR(__xludf.DUMMYFUNCTION("IMPORTRANGE(""https://docs.google.com/spreadsheets/d/1SX6NBoVAgQJ6U1MVXOaj8PK2l7WJ3RER9xtqwdhxkhw/edit?usp=sharing"",""สระแก้ว!L354"")"),956735)</f>
        <v>956735</v>
      </c>
      <c r="M459" s="169"/>
      <c r="N459" s="169">
        <f ca="1">IFERROR(__xludf.DUMMYFUNCTION("IMPORTRANGE(""https://docs.google.com/spreadsheets/d/1SX6NBoVAgQJ6U1MVXOaj8PK2l7WJ3RER9xtqwdhxkhw/edit?usp=sharing"",""สระแก้ว!M354"")"),330817.41)</f>
        <v>330817.40999999997</v>
      </c>
      <c r="O459" s="169">
        <f t="shared" ca="1" si="116"/>
        <v>34.57774723408258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IFERROR(__xludf.DUMMYFUNCTION("IMPORTRANGE(""https://docs.google.com/spreadsheets/d/1SX6NBoVAgQJ6U1MVXOaj8PK2l7WJ3RER9xtqwdhxkhw/edit?usp=sharing"",""สระแก้ว!M355"")"),0)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IFERROR(__xludf.DUMMYFUNCTION("IMPORTRANGE(""https://docs.google.com/spreadsheets/d/1SX6NBoVAgQJ6U1MVXOaj8PK2l7WJ3RER9xtqwdhxkhw/edit?usp=sharing"",""สระแก้ว!M356"")"),0)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IFERROR(__xludf.DUMMYFUNCTION("IMPORTRANGE(""https://docs.google.com/spreadsheets/d/1SX6NBoVAgQJ6U1MVXOaj8PK2l7WJ3RER9xtqwdhxkhw/edit?usp=sharing"",""สระแก้ว!M357"")"),64225.58)</f>
        <v>64225.58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IFERROR(__xludf.DUMMYFUNCTION("IMPORTRANGE(""https://docs.google.com/spreadsheets/d/1SX6NBoVAgQJ6U1MVXOaj8PK2l7WJ3RER9xtqwdhxkhw/edit?usp=sharing"",""สระแก้ว!M358"")"),266591.83)</f>
        <v>266591.83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IFERROR(__xludf.DUMMYFUNCTION("IMPORTRANGE(""https://docs.google.com/spreadsheets/d/1SX6NBoVAgQJ6U1MVXOaj8PK2l7WJ3RER9xtqwdhxkhw/edit?usp=sharing"",""สระแก้ว!I359"")"),63631)</f>
        <v>63631</v>
      </c>
      <c r="J464" s="268">
        <f ca="1">IFERROR(__xludf.DUMMYFUNCTION("IMPORTRANGE(""https://docs.google.com/spreadsheets/d/1SX6NBoVAgQJ6U1MVXOaj8PK2l7WJ3RER9xtqwdhxkhw/edit?usp=sharing"",""สระแก้ว!J359"")"),63631)</f>
        <v>63631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IFERROR(__xludf.DUMMYFUNCTION("IMPORTRANGE(""https://docs.google.com/spreadsheets/d/1SX6NBoVAgQJ6U1MVXOaj8PK2l7WJ3RER9xtqwdhxkhw/edit?usp=sharing"",""สระแก้ว!J360"")"),63631)</f>
        <v>63631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IFERROR(__xludf.DUMMYFUNCTION("IMPORTRANGE(""https://docs.google.com/spreadsheets/d/1SX6NBoVAgQJ6U1MVXOaj8PK2l7WJ3RER9xtqwdhxkhw/edit?usp=sharing"",""สระแก้ว!I362"")"),0)</f>
        <v>0</v>
      </c>
      <c r="J467" s="189">
        <f ca="1">IFERROR(__xludf.DUMMYFUNCTION("IMPORTRANGE(""https://docs.google.com/spreadsheets/d/1SX6NBoVAgQJ6U1MVXOaj8PK2l7WJ3RER9xtqwdhxkhw/edit?usp=sharing"",""สระแก้ว!J362"")"),47572)</f>
        <v>47572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IFERROR(__xludf.DUMMYFUNCTION("IMPORTRANGE(""https://docs.google.com/spreadsheets/d/1SX6NBoVAgQJ6U1MVXOaj8PK2l7WJ3RER9xtqwdhxkhw/edit?usp=sharing"",""สระแก้ว!I363"")"),0)</f>
        <v>0</v>
      </c>
      <c r="J468" s="189">
        <f ca="1">IFERROR(__xludf.DUMMYFUNCTION("IMPORTRANGE(""https://docs.google.com/spreadsheets/d/1SX6NBoVAgQJ6U1MVXOaj8PK2l7WJ3RER9xtqwdhxkhw/edit?usp=sharing"",""สระแก้ว!J363"")"),5852)</f>
        <v>5852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IFERROR(__xludf.DUMMYFUNCTION("IMPORTRANGE(""https://docs.google.com/spreadsheets/d/1SX6NBoVAgQJ6U1MVXOaj8PK2l7WJ3RER9xtqwdhxkhw/edit?usp=sharing"",""สระแก้ว!I364"")"),0)</f>
        <v>0</v>
      </c>
      <c r="J469" s="189">
        <f ca="1">IFERROR(__xludf.DUMMYFUNCTION("IMPORTRANGE(""https://docs.google.com/spreadsheets/d/1SX6NBoVAgQJ6U1MVXOaj8PK2l7WJ3RER9xtqwdhxkhw/edit?usp=sharing"",""สระแก้ว!J364"")"),13997)</f>
        <v>13997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IFERROR(__xludf.DUMMYFUNCTION("IMPORTRANGE(""https://docs.google.com/spreadsheets/d/1SX6NBoVAgQJ6U1MVXOaj8PK2l7WJ3RER9xtqwdhxkhw/edit?usp=sharing"",""สระแก้ว!I365"")"),0)</f>
        <v>0</v>
      </c>
      <c r="J470" s="189">
        <f ca="1">IFERROR(__xludf.DUMMYFUNCTION("IMPORTRANGE(""https://docs.google.com/spreadsheets/d/1SX6NBoVAgQJ6U1MVXOaj8PK2l7WJ3RER9xtqwdhxkhw/edit?usp=sharing"",""สระแก้ว!J365"")"),1110)</f>
        <v>1110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IFERROR(__xludf.DUMMYFUNCTION("IMPORTRANGE(""https://docs.google.com/spreadsheets/d/1SX6NBoVAgQJ6U1MVXOaj8PK2l7WJ3RER9xtqwdhxkhw/edit?usp=sharing"",""สระแก้ว!I366"")"),0)</f>
        <v>0</v>
      </c>
      <c r="J471" s="189">
        <f ca="1">IFERROR(__xludf.DUMMYFUNCTION("IMPORTRANGE(""https://docs.google.com/spreadsheets/d/1SX6NBoVAgQJ6U1MVXOaj8PK2l7WJ3RER9xtqwdhxkhw/edit?usp=sharing"",""สระแก้ว!J366"")"),2062)</f>
        <v>2062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IFERROR(__xludf.DUMMYFUNCTION("IMPORTRANGE(""https://docs.google.com/spreadsheets/d/1SX6NBoVAgQJ6U1MVXOaj8PK2l7WJ3RER9xtqwdhxkhw/edit?usp=sharing"",""สระแก้ว!I367"")"),0)</f>
        <v>0</v>
      </c>
      <c r="J472" s="189">
        <f ca="1">IFERROR(__xludf.DUMMYFUNCTION("IMPORTRANGE(""https://docs.google.com/spreadsheets/d/1SX6NBoVAgQJ6U1MVXOaj8PK2l7WJ3RER9xtqwdhxkhw/edit?usp=sharing"",""สระแก้ว!J367"")"),151)</f>
        <v>151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IFERROR(__xludf.DUMMYFUNCTION("IMPORTRANGE(""https://docs.google.com/spreadsheets/d/1SX6NBoVAgQJ6U1MVXOaj8PK2l7WJ3RER9xtqwdhxkhw/edit?usp=sharing"",""สระแก้ว!J368"")"),63631)</f>
        <v>63631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IFERROR(__xludf.DUMMYFUNCTION("IMPORTRANGE(""https://docs.google.com/spreadsheets/d/1SX6NBoVAgQJ6U1MVXOaj8PK2l7WJ3RER9xtqwdhxkhw/edit?usp=sharing"",""สระแก้ว!J369"")"),7113)</f>
        <v>7113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IFERROR(__xludf.DUMMYFUNCTION("IMPORTRANGE(""https://docs.google.com/spreadsheets/d/1SX6NBoVAgQJ6U1MVXOaj8PK2l7WJ3RER9xtqwdhxkhw/edit?usp=sharing"",""สระแก้ว!I370"")"),0)</f>
        <v>0</v>
      </c>
      <c r="J475" s="189">
        <f ca="1">IFERROR(__xludf.DUMMYFUNCTION("IMPORTRANGE(""https://docs.google.com/spreadsheets/d/1SX6NBoVAgQJ6U1MVXOaj8PK2l7WJ3RER9xtqwdhxkhw/edit?usp=sharing"",""สระแก้ว!J370"")"),51098)</f>
        <v>51098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IFERROR(__xludf.DUMMYFUNCTION("IMPORTRANGE(""https://docs.google.com/spreadsheets/d/1SX6NBoVAgQJ6U1MVXOaj8PK2l7WJ3RER9xtqwdhxkhw/edit?usp=sharing"",""สระแก้ว!I371"")"),0)</f>
        <v>0</v>
      </c>
      <c r="J476" s="189">
        <f ca="1">IFERROR(__xludf.DUMMYFUNCTION("IMPORTRANGE(""https://docs.google.com/spreadsheets/d/1SX6NBoVAgQJ6U1MVXOaj8PK2l7WJ3RER9xtqwdhxkhw/edit?usp=sharing"",""สระแก้ว!J371"")"),6360)</f>
        <v>6360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IFERROR(__xludf.DUMMYFUNCTION("IMPORTRANGE(""https://docs.google.com/spreadsheets/d/1SX6NBoVAgQJ6U1MVXOaj8PK2l7WJ3RER9xtqwdhxkhw/edit?usp=sharing"",""สระแก้ว!I372"")"),0)</f>
        <v>0</v>
      </c>
      <c r="J477" s="189">
        <f ca="1">IFERROR(__xludf.DUMMYFUNCTION("IMPORTRANGE(""https://docs.google.com/spreadsheets/d/1SX6NBoVAgQJ6U1MVXOaj8PK2l7WJ3RER9xtqwdhxkhw/edit?usp=sharing"",""สระแก้ว!J372"")"),10623)</f>
        <v>10623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IFERROR(__xludf.DUMMYFUNCTION("IMPORTRANGE(""https://docs.google.com/spreadsheets/d/1SX6NBoVAgQJ6U1MVXOaj8PK2l7WJ3RER9xtqwdhxkhw/edit?usp=sharing"",""สระแก้ว!I373"")"),0)</f>
        <v>0</v>
      </c>
      <c r="J478" s="189">
        <f ca="1">IFERROR(__xludf.DUMMYFUNCTION("IMPORTRANGE(""https://docs.google.com/spreadsheets/d/1SX6NBoVAgQJ6U1MVXOaj8PK2l7WJ3RER9xtqwdhxkhw/edit?usp=sharing"",""สระแก้ว!J373"")"),589)</f>
        <v>589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IFERROR(__xludf.DUMMYFUNCTION("IMPORTRANGE(""https://docs.google.com/spreadsheets/d/1SX6NBoVAgQJ6U1MVXOaj8PK2l7WJ3RER9xtqwdhxkhw/edit?usp=sharing"",""สระแก้ว!I374"")"),0)</f>
        <v>0</v>
      </c>
      <c r="J479" s="189">
        <f ca="1">IFERROR(__xludf.DUMMYFUNCTION("IMPORTRANGE(""https://docs.google.com/spreadsheets/d/1SX6NBoVAgQJ6U1MVXOaj8PK2l7WJ3RER9xtqwdhxkhw/edit?usp=sharing"",""สระแก้ว!J374"")"),1910)</f>
        <v>1910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IFERROR(__xludf.DUMMYFUNCTION("IMPORTRANGE(""https://docs.google.com/spreadsheets/d/1SX6NBoVAgQJ6U1MVXOaj8PK2l7WJ3RER9xtqwdhxkhw/edit?usp=sharing"",""สระแก้ว!I375"")"),0)</f>
        <v>0</v>
      </c>
      <c r="J480" s="189">
        <f ca="1">IFERROR(__xludf.DUMMYFUNCTION("IMPORTRANGE(""https://docs.google.com/spreadsheets/d/1SX6NBoVAgQJ6U1MVXOaj8PK2l7WJ3RER9xtqwdhxkhw/edit?usp=sharing"",""สระแก้ว!J375"")"),164)</f>
        <v>164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IFERROR(__xludf.DUMMYFUNCTION("IMPORTRANGE(""https://docs.google.com/spreadsheets/d/1SX6NBoVAgQJ6U1MVXOaj8PK2l7WJ3RER9xtqwdhxkhw/edit?usp=sharing"",""สระแก้ว!J376"")"),63631)</f>
        <v>63631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IFERROR(__xludf.DUMMYFUNCTION("IMPORTRANGE(""https://docs.google.com/spreadsheets/d/1SX6NBoVAgQJ6U1MVXOaj8PK2l7WJ3RER9xtqwdhxkhw/edit?usp=sharing"",""สระแก้ว!J377"")"),7113)</f>
        <v>7113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IFERROR(__xludf.DUMMYFUNCTION("IMPORTRANGE(""https://docs.google.com/spreadsheets/d/1SX6NBoVAgQJ6U1MVXOaj8PK2l7WJ3RER9xtqwdhxkhw/edit?usp=sharing"",""สระแก้ว!I378"")"),0)</f>
        <v>0</v>
      </c>
      <c r="J483" s="189">
        <f ca="1">IFERROR(__xludf.DUMMYFUNCTION("IMPORTRANGE(""https://docs.google.com/spreadsheets/d/1SX6NBoVAgQJ6U1MVXOaj8PK2l7WJ3RER9xtqwdhxkhw/edit?usp=sharing"",""สระแก้ว!J378"")"),52446)</f>
        <v>52446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IFERROR(__xludf.DUMMYFUNCTION("IMPORTRANGE(""https://docs.google.com/spreadsheets/d/1SX6NBoVAgQJ6U1MVXOaj8PK2l7WJ3RER9xtqwdhxkhw/edit?usp=sharing"",""สระแก้ว!I379"")"),0)</f>
        <v>0</v>
      </c>
      <c r="J484" s="189">
        <f ca="1">IFERROR(__xludf.DUMMYFUNCTION("IMPORTRANGE(""https://docs.google.com/spreadsheets/d/1SX6NBoVAgQJ6U1MVXOaj8PK2l7WJ3RER9xtqwdhxkhw/edit?usp=sharing"",""สระแก้ว!J379"")"),6467)</f>
        <v>6467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IFERROR(__xludf.DUMMYFUNCTION("IMPORTRANGE(""https://docs.google.com/spreadsheets/d/1SX6NBoVAgQJ6U1MVXOaj8PK2l7WJ3RER9xtqwdhxkhw/edit?usp=sharing"",""สระแก้ว!I380"")"),0)</f>
        <v>0</v>
      </c>
      <c r="J485" s="189">
        <f ca="1">IFERROR(__xludf.DUMMYFUNCTION("IMPORTRANGE(""https://docs.google.com/spreadsheets/d/1SX6NBoVAgQJ6U1MVXOaj8PK2l7WJ3RER9xtqwdhxkhw/edit?usp=sharing"",""สระแก้ว!J380"")"),8818)</f>
        <v>8818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IFERROR(__xludf.DUMMYFUNCTION("IMPORTRANGE(""https://docs.google.com/spreadsheets/d/1SX6NBoVAgQJ6U1MVXOaj8PK2l7WJ3RER9xtqwdhxkhw/edit?usp=sharing"",""สระแก้ว!I381"")"),0)</f>
        <v>0</v>
      </c>
      <c r="J486" s="189">
        <f ca="1">IFERROR(__xludf.DUMMYFUNCTION("IMPORTRANGE(""https://docs.google.com/spreadsheets/d/1SX6NBoVAgQJ6U1MVXOaj8PK2l7WJ3RER9xtqwdhxkhw/edit?usp=sharing"",""สระแก้ว!J381"")"),471)</f>
        <v>471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IFERROR(__xludf.DUMMYFUNCTION("IMPORTRANGE(""https://docs.google.com/spreadsheets/d/1SX6NBoVAgQJ6U1MVXOaj8PK2l7WJ3RER9xtqwdhxkhw/edit?usp=sharing"",""สระแก้ว!J382"")"),2367)</f>
        <v>2367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IFERROR(__xludf.DUMMYFUNCTION("IMPORTRANGE(""https://docs.google.com/spreadsheets/d/1SX6NBoVAgQJ6U1MVXOaj8PK2l7WJ3RER9xtqwdhxkhw/edit?usp=sharing"",""สระแก้ว!J383"")"),175)</f>
        <v>175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IFERROR(__xludf.DUMMYFUNCTION("IMPORTRANGE(""https://docs.google.com/spreadsheets/d/1SX6NBoVAgQJ6U1MVXOaj8PK2l7WJ3RER9xtqwdhxkhw/edit?usp=sharing"",""สระแก้ว!I384"")"),0)</f>
        <v>0</v>
      </c>
      <c r="J489" s="189">
        <f ca="1">IFERROR(__xludf.DUMMYFUNCTION("IMPORTRANGE(""https://docs.google.com/spreadsheets/d/1SX6NBoVAgQJ6U1MVXOaj8PK2l7WJ3RER9xtqwdhxkhw/edit?usp=sharing"",""สระแก้ว!J384"")"),1910)</f>
        <v>1910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IFERROR(__xludf.DUMMYFUNCTION("IMPORTRANGE(""https://docs.google.com/spreadsheets/d/1SX6NBoVAgQJ6U1MVXOaj8PK2l7WJ3RER9xtqwdhxkhw/edit?usp=sharing"",""สระแก้ว!I385"")"),0)</f>
        <v>0</v>
      </c>
      <c r="J490" s="189">
        <f ca="1">IFERROR(__xludf.DUMMYFUNCTION("IMPORTRANGE(""https://docs.google.com/spreadsheets/d/1SX6NBoVAgQJ6U1MVXOaj8PK2l7WJ3RER9xtqwdhxkhw/edit?usp=sharing"",""สระแก้ว!J385"")"),164)</f>
        <v>164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IFERROR(__xludf.DUMMYFUNCTION("IMPORTRANGE(""https://docs.google.com/spreadsheets/d/1SX6NBoVAgQJ6U1MVXOaj8PK2l7WJ3RER9xtqwdhxkhw/edit?usp=sharing"",""สระแก้ว!I386"")"),0)</f>
        <v>0</v>
      </c>
      <c r="J491" s="189">
        <f ca="1">IFERROR(__xludf.DUMMYFUNCTION("IMPORTRANGE(""https://docs.google.com/spreadsheets/d/1SX6NBoVAgQJ6U1MVXOaj8PK2l7WJ3RER9xtqwdhxkhw/edit?usp=sharing"",""สระแก้ว!J386"")"),457)</f>
        <v>457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IFERROR(__xludf.DUMMYFUNCTION("IMPORTRANGE(""https://docs.google.com/spreadsheets/d/1SX6NBoVAgQJ6U1MVXOaj8PK2l7WJ3RER9xtqwdhxkhw/edit?usp=sharing"",""สระแก้ว!I387"")"),0)</f>
        <v>0</v>
      </c>
      <c r="J492" s="189">
        <f ca="1">IFERROR(__xludf.DUMMYFUNCTION("IMPORTRANGE(""https://docs.google.com/spreadsheets/d/1SX6NBoVAgQJ6U1MVXOaj8PK2l7WJ3RER9xtqwdhxkhw/edit?usp=sharing"",""สระแก้ว!J387"")"),11)</f>
        <v>11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IFERROR(__xludf.DUMMYFUNCTION("IMPORTRANGE(""https://docs.google.com/spreadsheets/d/1SX6NBoVAgQJ6U1MVXOaj8PK2l7WJ3RER9xtqwdhxkhw/edit?usp=sharing"",""สระแก้ว!I388"")"),0)</f>
        <v>0</v>
      </c>
      <c r="J493" s="189">
        <f ca="1">IFERROR(__xludf.DUMMYFUNCTION("IMPORTRANGE(""https://docs.google.com/spreadsheets/d/1SX6NBoVAgQJ6U1MVXOaj8PK2l7WJ3RER9xtqwdhxkhw/edit?usp=sharing"",""สระแก้ว!J388"")"),0)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IFERROR(__xludf.DUMMYFUNCTION("IMPORTRANGE(""https://docs.google.com/spreadsheets/d/1SX6NBoVAgQJ6U1MVXOaj8PK2l7WJ3RER9xtqwdhxkhw/edit?usp=sharing"",""สระแก้ว!J392"")"),4603)</f>
        <v>4603</v>
      </c>
      <c r="K497" s="444">
        <f t="shared" ca="1" si="117"/>
        <v>20.57482567495083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IFERROR(__xludf.DUMMYFUNCTION("IMPORTRANGE(""https://docs.google.com/spreadsheets/d/1SX6NBoVAgQJ6U1MVXOaj8PK2l7WJ3RER9xtqwdhxkhw/edit?usp=sharing"",""สระแก้ว!J393"")"),4603)</f>
        <v>4603</v>
      </c>
      <c r="K498" s="202">
        <f t="shared" ca="1" si="117"/>
        <v>20.57482567495083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IFERROR(__xludf.DUMMYFUNCTION("IMPORTRANGE(""https://docs.google.com/spreadsheets/d/1SX6NBoVAgQJ6U1MVXOaj8PK2l7WJ3RER9xtqwdhxkhw/edit?usp=sharing"",""สระแก้ว!J394"")"),256)</f>
        <v>256</v>
      </c>
      <c r="K499" s="202">
        <f t="shared" ca="1" si="117"/>
        <v>18.311874105865524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IFERROR(__xludf.DUMMYFUNCTION("IMPORTRANGE(""https://docs.google.com/spreadsheets/d/1SX6NBoVAgQJ6U1MVXOaj8PK2l7WJ3RER9xtqwdhxkhw/edit?usp=sharing"",""สระแก้ว!I395"")"),0)</f>
        <v>0</v>
      </c>
      <c r="J500" s="162">
        <f ca="1">IFERROR(__xludf.DUMMYFUNCTION("IMPORTRANGE(""https://docs.google.com/spreadsheets/d/1SX6NBoVAgQJ6U1MVXOaj8PK2l7WJ3RER9xtqwdhxkhw/edit?usp=sharing"",""สระแก้ว!J395"")"),4421)</f>
        <v>4421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IFERROR(__xludf.DUMMYFUNCTION("IMPORTRANGE(""https://docs.google.com/spreadsheets/d/1SX6NBoVAgQJ6U1MVXOaj8PK2l7WJ3RER9xtqwdhxkhw/edit?usp=sharing"",""สระแก้ว!I396"")"),0)</f>
        <v>0</v>
      </c>
      <c r="J501" s="162">
        <f ca="1">IFERROR(__xludf.DUMMYFUNCTION("IMPORTRANGE(""https://docs.google.com/spreadsheets/d/1SX6NBoVAgQJ6U1MVXOaj8PK2l7WJ3RER9xtqwdhxkhw/edit?usp=sharing"",""สระแก้ว!J396"")"),247)</f>
        <v>247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IFERROR(__xludf.DUMMYFUNCTION("IMPORTRANGE(""https://docs.google.com/spreadsheets/d/1SX6NBoVAgQJ6U1MVXOaj8PK2l7WJ3RER9xtqwdhxkhw/edit?usp=sharing"",""สระแก้ว!I397"")"),0)</f>
        <v>0</v>
      </c>
      <c r="J502" s="189">
        <f ca="1">IFERROR(__xludf.DUMMYFUNCTION("IMPORTRANGE(""https://docs.google.com/spreadsheets/d/1SX6NBoVAgQJ6U1MVXOaj8PK2l7WJ3RER9xtqwdhxkhw/edit?usp=sharing"",""สระแก้ว!J397"")"),4416)</f>
        <v>4416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IFERROR(__xludf.DUMMYFUNCTION("IMPORTRANGE(""https://docs.google.com/spreadsheets/d/1SX6NBoVAgQJ6U1MVXOaj8PK2l7WJ3RER9xtqwdhxkhw/edit?usp=sharing"",""สระแก้ว!I398"")"),0)</f>
        <v>0</v>
      </c>
      <c r="J503" s="198">
        <f ca="1">IFERROR(__xludf.DUMMYFUNCTION("IMPORTRANGE(""https://docs.google.com/spreadsheets/d/1SX6NBoVAgQJ6U1MVXOaj8PK2l7WJ3RER9xtqwdhxkhw/edit?usp=sharing"",""สระแก้ว!J398"")"),246)</f>
        <v>246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IFERROR(__xludf.DUMMYFUNCTION("IMPORTRANGE(""https://docs.google.com/spreadsheets/d/1SX6NBoVAgQJ6U1MVXOaj8PK2l7WJ3RER9xtqwdhxkhw/edit?usp=sharing"",""สระแก้ว!I399"")"),0)</f>
        <v>0</v>
      </c>
      <c r="J504" s="189">
        <f ca="1">IFERROR(__xludf.DUMMYFUNCTION("IMPORTRANGE(""https://docs.google.com/spreadsheets/d/1SX6NBoVAgQJ6U1MVXOaj8PK2l7WJ3RER9xtqwdhxkhw/edit?usp=sharing"",""สระแก้ว!J399"")"),5)</f>
        <v>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IFERROR(__xludf.DUMMYFUNCTION("IMPORTRANGE(""https://docs.google.com/spreadsheets/d/1SX6NBoVAgQJ6U1MVXOaj8PK2l7WJ3RER9xtqwdhxkhw/edit?usp=sharing"",""สระแก้ว!I400"")"),0)</f>
        <v>0</v>
      </c>
      <c r="J505" s="198">
        <f ca="1">IFERROR(__xludf.DUMMYFUNCTION("IMPORTRANGE(""https://docs.google.com/spreadsheets/d/1SX6NBoVAgQJ6U1MVXOaj8PK2l7WJ3RER9xtqwdhxkhw/edit?usp=sharing"",""สระแก้ว!J400"")"),1)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IFERROR(__xludf.DUMMYFUNCTION("IMPORTRANGE(""https://docs.google.com/spreadsheets/d/1SX6NBoVAgQJ6U1MVXOaj8PK2l7WJ3RER9xtqwdhxkhw/edit?usp=sharing"",""สระแก้ว!I401"")"),0)</f>
        <v>0</v>
      </c>
      <c r="J506" s="189">
        <f ca="1">IFERROR(__xludf.DUMMYFUNCTION("IMPORTRANGE(""https://docs.google.com/spreadsheets/d/1SX6NBoVAgQJ6U1MVXOaj8PK2l7WJ3RER9xtqwdhxkhw/edit?usp=sharing"",""สระแก้ว!J401"")"),0)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IFERROR(__xludf.DUMMYFUNCTION("IMPORTRANGE(""https://docs.google.com/spreadsheets/d/1SX6NBoVAgQJ6U1MVXOaj8PK2l7WJ3RER9xtqwdhxkhw/edit?usp=sharing"",""สระแก้ว!I402"")"),0)</f>
        <v>0</v>
      </c>
      <c r="J507" s="198">
        <f ca="1">IFERROR(__xludf.DUMMYFUNCTION("IMPORTRANGE(""https://docs.google.com/spreadsheets/d/1SX6NBoVAgQJ6U1MVXOaj8PK2l7WJ3RER9xtqwdhxkhw/edit?usp=sharing"",""สระแก้ว!J402"")"),0)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IFERROR(__xludf.DUMMYFUNCTION("IMPORTRANGE(""https://docs.google.com/spreadsheets/d/1SX6NBoVAgQJ6U1MVXOaj8PK2l7WJ3RER9xtqwdhxkhw/edit?usp=sharing"",""สระแก้ว!I403"")"),0)</f>
        <v>0</v>
      </c>
      <c r="J508" s="162">
        <f ca="1">IFERROR(__xludf.DUMMYFUNCTION("IMPORTRANGE(""https://docs.google.com/spreadsheets/d/1SX6NBoVAgQJ6U1MVXOaj8PK2l7WJ3RER9xtqwdhxkhw/edit?usp=sharing"",""สระแก้ว!J403"")"),182)</f>
        <v>182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IFERROR(__xludf.DUMMYFUNCTION("IMPORTRANGE(""https://docs.google.com/spreadsheets/d/1SX6NBoVAgQJ6U1MVXOaj8PK2l7WJ3RER9xtqwdhxkhw/edit?usp=sharing"",""สระแก้ว!I404"")"),0)</f>
        <v>0</v>
      </c>
      <c r="J509" s="162">
        <f ca="1">IFERROR(__xludf.DUMMYFUNCTION("IMPORTRANGE(""https://docs.google.com/spreadsheets/d/1SX6NBoVAgQJ6U1MVXOaj8PK2l7WJ3RER9xtqwdhxkhw/edit?usp=sharing"",""สระแก้ว!J404"")"),9)</f>
        <v>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IFERROR(__xludf.DUMMYFUNCTION("IMPORTRANGE(""https://docs.google.com/spreadsheets/d/1SX6NBoVAgQJ6U1MVXOaj8PK2l7WJ3RER9xtqwdhxkhw/edit?usp=sharing"",""สระแก้ว!I405"")"),0)</f>
        <v>0</v>
      </c>
      <c r="J510" s="198">
        <f ca="1">IFERROR(__xludf.DUMMYFUNCTION("IMPORTRANGE(""https://docs.google.com/spreadsheets/d/1SX6NBoVAgQJ6U1MVXOaj8PK2l7WJ3RER9xtqwdhxkhw/edit?usp=sharing"",""สระแก้ว!J405"")"),182)</f>
        <v>182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IFERROR(__xludf.DUMMYFUNCTION("IMPORTRANGE(""https://docs.google.com/spreadsheets/d/1SX6NBoVAgQJ6U1MVXOaj8PK2l7WJ3RER9xtqwdhxkhw/edit?usp=sharing"",""สระแก้ว!I406"")"),0)</f>
        <v>0</v>
      </c>
      <c r="J511" s="198">
        <f ca="1">IFERROR(__xludf.DUMMYFUNCTION("IMPORTRANGE(""https://docs.google.com/spreadsheets/d/1SX6NBoVAgQJ6U1MVXOaj8PK2l7WJ3RER9xtqwdhxkhw/edit?usp=sharing"",""สระแก้ว!J406"")"),9)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IFERROR(__xludf.DUMMYFUNCTION("IMPORTRANGE(""https://docs.google.com/spreadsheets/d/1SX6NBoVAgQJ6U1MVXOaj8PK2l7WJ3RER9xtqwdhxkhw/edit?usp=sharing"",""สระแก้ว!I407"")"),0)</f>
        <v>0</v>
      </c>
      <c r="J512" s="198">
        <f ca="1">IFERROR(__xludf.DUMMYFUNCTION("IMPORTRANGE(""https://docs.google.com/spreadsheets/d/1SX6NBoVAgQJ6U1MVXOaj8PK2l7WJ3RER9xtqwdhxkhw/edit?usp=sharing"",""สระแก้ว!J407"")"),0)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IFERROR(__xludf.DUMMYFUNCTION("IMPORTRANGE(""https://docs.google.com/spreadsheets/d/1SX6NBoVAgQJ6U1MVXOaj8PK2l7WJ3RER9xtqwdhxkhw/edit?usp=sharing"",""สระแก้ว!I408"")"),0)</f>
        <v>0</v>
      </c>
      <c r="J513" s="198">
        <f ca="1">IFERROR(__xludf.DUMMYFUNCTION("IMPORTRANGE(""https://docs.google.com/spreadsheets/d/1SX6NBoVAgQJ6U1MVXOaj8PK2l7WJ3RER9xtqwdhxkhw/edit?usp=sharing"",""สระแก้ว!J408"")"),0)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IFERROR(__xludf.DUMMYFUNCTION("IMPORTRANGE(""https://docs.google.com/spreadsheets/d/1SX6NBoVAgQJ6U1MVXOaj8PK2l7WJ3RER9xtqwdhxkhw/edit?usp=sharing"",""สระแก้ว!I409"")"),0)</f>
        <v>0</v>
      </c>
      <c r="J514" s="198">
        <f ca="1">IFERROR(__xludf.DUMMYFUNCTION("IMPORTRANGE(""https://docs.google.com/spreadsheets/d/1SX6NBoVAgQJ6U1MVXOaj8PK2l7WJ3RER9xtqwdhxkhw/edit?usp=sharing"",""สระแก้ว!J409"")"),0)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IFERROR(__xludf.DUMMYFUNCTION("IMPORTRANGE(""https://docs.google.com/spreadsheets/d/1SX6NBoVAgQJ6U1MVXOaj8PK2l7WJ3RER9xtqwdhxkhw/edit?usp=sharing"",""สระแก้ว!I410"")"),0)</f>
        <v>0</v>
      </c>
      <c r="J515" s="198">
        <f ca="1">IFERROR(__xludf.DUMMYFUNCTION("IMPORTRANGE(""https://docs.google.com/spreadsheets/d/1SX6NBoVAgQJ6U1MVXOaj8PK2l7WJ3RER9xtqwdhxkhw/edit?usp=sharing"",""สระแก้ว!J410"")"),0)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IFERROR(__xludf.DUMMYFUNCTION("IMPORTRANGE(""https://docs.google.com/spreadsheets/d/1SX6NBoVAgQJ6U1MVXOaj8PK2l7WJ3RER9xtqwdhxkhw/edit?usp=sharing"",""สระแก้ว!I411"")"),0)</f>
        <v>0</v>
      </c>
      <c r="J516" s="268">
        <f ca="1">IFERROR(__xludf.DUMMYFUNCTION("IMPORTRANGE(""https://docs.google.com/spreadsheets/d/1SX6NBoVAgQJ6U1MVXOaj8PK2l7WJ3RER9xtqwdhxkhw/edit?usp=sharing"",""สระแก้ว!J411"")"),0)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IFERROR(__xludf.DUMMYFUNCTION("IMPORTRANGE(""https://docs.google.com/spreadsheets/d/1SX6NBoVAgQJ6U1MVXOaj8PK2l7WJ3RER9xtqwdhxkhw/edit?usp=sharing"",""สระแก้ว!I412"")"),0)</f>
        <v>0</v>
      </c>
      <c r="J517" s="285">
        <f ca="1">IFERROR(__xludf.DUMMYFUNCTION("IMPORTRANGE(""https://docs.google.com/spreadsheets/d/1SX6NBoVAgQJ6U1MVXOaj8PK2l7WJ3RER9xtqwdhxkhw/edit?usp=sharing"",""สระแก้ว!J412"")"),0)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IFERROR(__xludf.DUMMYFUNCTION("IMPORTRANGE(""https://docs.google.com/spreadsheets/d/1SX6NBoVAgQJ6U1MVXOaj8PK2l7WJ3RER9xtqwdhxkhw/edit?usp=sharing"",""สระแก้ว!I413"")"),0)</f>
        <v>0</v>
      </c>
      <c r="J518" s="285">
        <f ca="1">IFERROR(__xludf.DUMMYFUNCTION("IMPORTRANGE(""https://docs.google.com/spreadsheets/d/1SX6NBoVAgQJ6U1MVXOaj8PK2l7WJ3RER9xtqwdhxkhw/edit?usp=sharing"",""สระแก้ว!J413"")"),0)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IFERROR(__xludf.DUMMYFUNCTION("IMPORTRANGE(""https://docs.google.com/spreadsheets/d/1SX6NBoVAgQJ6U1MVXOaj8PK2l7WJ3RER9xtqwdhxkhw/edit?usp=sharing"",""สระแก้ว!I414"")"),0)</f>
        <v>0</v>
      </c>
      <c r="J519" s="188">
        <f ca="1">IFERROR(__xludf.DUMMYFUNCTION("IMPORTRANGE(""https://docs.google.com/spreadsheets/d/1SX6NBoVAgQJ6U1MVXOaj8PK2l7WJ3RER9xtqwdhxkhw/edit?usp=sharing"",""สระแก้ว!J414"")"),0)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IFERROR(__xludf.DUMMYFUNCTION("IMPORTRANGE(""https://docs.google.com/spreadsheets/d/1SX6NBoVAgQJ6U1MVXOaj8PK2l7WJ3RER9xtqwdhxkhw/edit?usp=sharing"",""สระแก้ว!I415"")"),0)</f>
        <v>0</v>
      </c>
      <c r="J520" s="188">
        <f ca="1">IFERROR(__xludf.DUMMYFUNCTION("IMPORTRANGE(""https://docs.google.com/spreadsheets/d/1SX6NBoVAgQJ6U1MVXOaj8PK2l7WJ3RER9xtqwdhxkhw/edit?usp=sharing"",""สระแก้ว!J415"")"),0)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IFERROR(__xludf.DUMMYFUNCTION("IMPORTRANGE(""https://docs.google.com/spreadsheets/d/1SX6NBoVAgQJ6U1MVXOaj8PK2l7WJ3RER9xtqwdhxkhw/edit?usp=sharing"",""สระแก้ว!I416"")"),0)</f>
        <v>0</v>
      </c>
      <c r="J521" s="188">
        <f ca="1">IFERROR(__xludf.DUMMYFUNCTION("IMPORTRANGE(""https://docs.google.com/spreadsheets/d/1SX6NBoVAgQJ6U1MVXOaj8PK2l7WJ3RER9xtqwdhxkhw/edit?usp=sharing"",""สระแก้ว!J416"")"),0)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IFERROR(__xludf.DUMMYFUNCTION("IMPORTRANGE(""https://docs.google.com/spreadsheets/d/1SX6NBoVAgQJ6U1MVXOaj8PK2l7WJ3RER9xtqwdhxkhw/edit?usp=sharing"",""สระแก้ว!I417"")"),0)</f>
        <v>0</v>
      </c>
      <c r="J522" s="188">
        <f ca="1">IFERROR(__xludf.DUMMYFUNCTION("IMPORTRANGE(""https://docs.google.com/spreadsheets/d/1SX6NBoVAgQJ6U1MVXOaj8PK2l7WJ3RER9xtqwdhxkhw/edit?usp=sharing"",""สระแก้ว!J417"")"),0)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IFERROR(__xludf.DUMMYFUNCTION("IMPORTRANGE(""https://docs.google.com/spreadsheets/d/1SX6NBoVAgQJ6U1MVXOaj8PK2l7WJ3RER9xtqwdhxkhw/edit?usp=sharing"",""สระแก้ว!I418"")"),0)</f>
        <v>0</v>
      </c>
      <c r="J523" s="188">
        <f ca="1">IFERROR(__xludf.DUMMYFUNCTION("IMPORTRANGE(""https://docs.google.com/spreadsheets/d/1SX6NBoVAgQJ6U1MVXOaj8PK2l7WJ3RER9xtqwdhxkhw/edit?usp=sharing"",""สระแก้ว!J418"")"),0)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IFERROR(__xludf.DUMMYFUNCTION("IMPORTRANGE(""https://docs.google.com/spreadsheets/d/1SX6NBoVAgQJ6U1MVXOaj8PK2l7WJ3RER9xtqwdhxkhw/edit?usp=sharing"",""สระแก้ว!I419"")"),0)</f>
        <v>0</v>
      </c>
      <c r="J524" s="188">
        <f ca="1">IFERROR(__xludf.DUMMYFUNCTION("IMPORTRANGE(""https://docs.google.com/spreadsheets/d/1SX6NBoVAgQJ6U1MVXOaj8PK2l7WJ3RER9xtqwdhxkhw/edit?usp=sharing"",""สระแก้ว!J419"")"),0)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IFERROR(__xludf.DUMMYFUNCTION("IMPORTRANGE(""https://docs.google.com/spreadsheets/d/1SX6NBoVAgQJ6U1MVXOaj8PK2l7WJ3RER9xtqwdhxkhw/edit?usp=sharing"",""สระแก้ว!I420"")"),0)</f>
        <v>0</v>
      </c>
      <c r="J525" s="285">
        <f ca="1">IFERROR(__xludf.DUMMYFUNCTION("IMPORTRANGE(""https://docs.google.com/spreadsheets/d/1SX6NBoVAgQJ6U1MVXOaj8PK2l7WJ3RER9xtqwdhxkhw/edit?usp=sharing"",""สระแก้ว!J420"")"),0)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IFERROR(__xludf.DUMMYFUNCTION("IMPORTRANGE(""https://docs.google.com/spreadsheets/d/1SX6NBoVAgQJ6U1MVXOaj8PK2l7WJ3RER9xtqwdhxkhw/edit?usp=sharing"",""สระแก้ว!I421"")"),0)</f>
        <v>0</v>
      </c>
      <c r="J526" s="285">
        <f ca="1">IFERROR(__xludf.DUMMYFUNCTION("IMPORTRANGE(""https://docs.google.com/spreadsheets/d/1SX6NBoVAgQJ6U1MVXOaj8PK2l7WJ3RER9xtqwdhxkhw/edit?usp=sharing"",""สระแก้ว!J421"")"),0)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IFERROR(__xludf.DUMMYFUNCTION("IMPORTRANGE(""https://docs.google.com/spreadsheets/d/1SX6NBoVAgQJ6U1MVXOaj8PK2l7WJ3RER9xtqwdhxkhw/edit?usp=sharing"",""สระแก้ว!I422"")"),0)</f>
        <v>0</v>
      </c>
      <c r="J527" s="198">
        <f ca="1">IFERROR(__xludf.DUMMYFUNCTION("IMPORTRANGE(""https://docs.google.com/spreadsheets/d/1SX6NBoVAgQJ6U1MVXOaj8PK2l7WJ3RER9xtqwdhxkhw/edit?usp=sharing"",""สระแก้ว!J422"")"),0)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IFERROR(__xludf.DUMMYFUNCTION("IMPORTRANGE(""https://docs.google.com/spreadsheets/d/1SX6NBoVAgQJ6U1MVXOaj8PK2l7WJ3RER9xtqwdhxkhw/edit?usp=sharing"",""สระแก้ว!I423"")"),0)</f>
        <v>0</v>
      </c>
      <c r="J528" s="198">
        <f ca="1">IFERROR(__xludf.DUMMYFUNCTION("IMPORTRANGE(""https://docs.google.com/spreadsheets/d/1SX6NBoVAgQJ6U1MVXOaj8PK2l7WJ3RER9xtqwdhxkhw/edit?usp=sharing"",""สระแก้ว!J423"")"),0)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IFERROR(__xludf.DUMMYFUNCTION("IMPORTRANGE(""https://docs.google.com/spreadsheets/d/1SX6NBoVAgQJ6U1MVXOaj8PK2l7WJ3RER9xtqwdhxkhw/edit?usp=sharing"",""สระแก้ว!I424"")"),0)</f>
        <v>0</v>
      </c>
      <c r="J529" s="198">
        <f ca="1">IFERROR(__xludf.DUMMYFUNCTION("IMPORTRANGE(""https://docs.google.com/spreadsheets/d/1SX6NBoVAgQJ6U1MVXOaj8PK2l7WJ3RER9xtqwdhxkhw/edit?usp=sharing"",""สระแก้ว!J424"")"),0)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IFERROR(__xludf.DUMMYFUNCTION("IMPORTRANGE(""https://docs.google.com/spreadsheets/d/1SX6NBoVAgQJ6U1MVXOaj8PK2l7WJ3RER9xtqwdhxkhw/edit?usp=sharing"",""สระแก้ว!I425"")"),0)</f>
        <v>0</v>
      </c>
      <c r="J530" s="198">
        <f ca="1">IFERROR(__xludf.DUMMYFUNCTION("IMPORTRANGE(""https://docs.google.com/spreadsheets/d/1SX6NBoVAgQJ6U1MVXOaj8PK2l7WJ3RER9xtqwdhxkhw/edit?usp=sharing"",""สระแก้ว!J425"")"),0)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IFERROR(__xludf.DUMMYFUNCTION("IMPORTRANGE(""https://docs.google.com/spreadsheets/d/1SX6NBoVAgQJ6U1MVXOaj8PK2l7WJ3RER9xtqwdhxkhw/edit?usp=sharing"",""สระแก้ว!I426"")"),0)</f>
        <v>0</v>
      </c>
      <c r="J531" s="198">
        <f ca="1">IFERROR(__xludf.DUMMYFUNCTION("IMPORTRANGE(""https://docs.google.com/spreadsheets/d/1SX6NBoVAgQJ6U1MVXOaj8PK2l7WJ3RER9xtqwdhxkhw/edit?usp=sharing"",""สระแก้ว!J426"")"),0)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IFERROR(__xludf.DUMMYFUNCTION("IMPORTRANGE(""https://docs.google.com/spreadsheets/d/1SX6NBoVAgQJ6U1MVXOaj8PK2l7WJ3RER9xtqwdhxkhw/edit?usp=sharing"",""สระแก้ว!M428"")"),27225)</f>
        <v>27225</v>
      </c>
      <c r="O533" s="412">
        <f t="shared" ref="O533:O537" ca="1" si="118">+IF(L533&gt;0,N533*100/L533,0)</f>
        <v>79.28072218986604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IFERROR(__xludf.DUMMYFUNCTION("IMPORTRANGE(""https://docs.google.com/spreadsheets/d/1SX6NBoVAgQJ6U1MVXOaj8PK2l7WJ3RER9xtqwdhxkhw/edit?usp=sharing"",""สระแก้ว!L429"")"),0)</f>
        <v>0</v>
      </c>
      <c r="M534" s="164"/>
      <c r="N534" s="169">
        <f ca="1">IFERROR(__xludf.DUMMYFUNCTION("IMPORTRANGE(""https://docs.google.com/spreadsheets/d/1SX6NBoVAgQJ6U1MVXOaj8PK2l7WJ3RER9xtqwdhxkhw/edit?usp=sharing"",""สระแก้ว!M429"")"),0)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IFERROR(__xludf.DUMMYFUNCTION("IMPORTRANGE(""https://docs.google.com/spreadsheets/d/1SX6NBoVAgQJ6U1MVXOaj8PK2l7WJ3RER9xtqwdhxkhw/edit?usp=sharing"",""สระแก้ว!L430"")"),34340)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IFERROR(__xludf.DUMMYFUNCTION("IMPORTRANGE(""https://docs.google.com/spreadsheets/d/1SX6NBoVAgQJ6U1MVXOaj8PK2l7WJ3RER9xtqwdhxkhw/edit?usp=sharing"",""สระแก้ว!M430"")"),27225)</f>
        <v>27225</v>
      </c>
      <c r="O535" s="169">
        <f t="shared" ca="1" si="118"/>
        <v>79.28072218986604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IFERROR(__xludf.DUMMYFUNCTION("IMPORTRANGE(""https://docs.google.com/spreadsheets/d/1SX6NBoVAgQJ6U1MVXOaj8PK2l7WJ3RER9xtqwdhxkhw/edit?usp=sharing"",""สระแก้ว!L431"")"),0)</f>
        <v>0</v>
      </c>
      <c r="M536" s="169"/>
      <c r="N536" s="169">
        <f ca="1">IFERROR(__xludf.DUMMYFUNCTION("IMPORTRANGE(""https://docs.google.com/spreadsheets/d/1SX6NBoVAgQJ6U1MVXOaj8PK2l7WJ3RER9xtqwdhxkhw/edit?usp=sharing"",""สระแก้ว!M431"")"),0)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IFERROR(__xludf.DUMMYFUNCTION("IMPORTRANGE(""https://docs.google.com/spreadsheets/d/1SX6NBoVAgQJ6U1MVXOaj8PK2l7WJ3RER9xtqwdhxkhw/edit?usp=sharing"",""สระแก้ว!L432"")"),34340)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IFERROR(__xludf.DUMMYFUNCTION("IMPORTRANGE(""https://docs.google.com/spreadsheets/d/1SX6NBoVAgQJ6U1MVXOaj8PK2l7WJ3RER9xtqwdhxkhw/edit?usp=sharing"",""สระแก้ว!M432"")"),27225)</f>
        <v>27225</v>
      </c>
      <c r="O537" s="169">
        <f t="shared" ca="1" si="118"/>
        <v>79.28072218986604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IFERROR(__xludf.DUMMYFUNCTION("IMPORTRANGE(""https://docs.google.com/spreadsheets/d/1SX6NBoVAgQJ6U1MVXOaj8PK2l7WJ3RER9xtqwdhxkhw/edit?usp=sharing"",""สระแก้ว!M433"")"),17685)</f>
        <v>17685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IFERROR(__xludf.DUMMYFUNCTION("IMPORTRANGE(""https://docs.google.com/spreadsheets/d/1SX6NBoVAgQJ6U1MVXOaj8PK2l7WJ3RER9xtqwdhxkhw/edit?usp=sharing"",""สระแก้ว!M436"")"),9540)</f>
        <v>9540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IFERROR(__xludf.DUMMYFUNCTION("IMPORTRANGE(""https://docs.google.com/spreadsheets/d/1SX6NBoVAgQJ6U1MVXOaj8PK2l7WJ3RER9xtqwdhxkhw/edit?usp=sharing"",""สระแก้ว!J438"")"),0)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IFERROR(__xludf.DUMMYFUNCTION("IMPORTRANGE(""https://docs.google.com/spreadsheets/d/1SX6NBoVAgQJ6U1MVXOaj8PK2l7WJ3RER9xtqwdhxkhw/edit?usp=sharing"",""สระแก้ว!J439"")"),1)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IFERROR(__xludf.DUMMYFUNCTION("IMPORTRANGE(""https://docs.google.com/spreadsheets/d/1SX6NBoVAgQJ6U1MVXOaj8PK2l7WJ3RER9xtqwdhxkhw/edit?usp=sharing"",""สระแก้ว!J440"")"),1)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IFERROR(__xludf.DUMMYFUNCTION("IMPORTRANGE(""https://docs.google.com/spreadsheets/d/1SX6NBoVAgQJ6U1MVXOaj8PK2l7WJ3RER9xtqwdhxkhw/edit?usp=sharing"",""สระแก้ว!J441"")"),1)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IFERROR(__xludf.DUMMYFUNCTION("IMPORTRANGE(""https://docs.google.com/spreadsheets/d/1SX6NBoVAgQJ6U1MVXOaj8PK2l7WJ3RER9xtqwdhxkhw/edit?usp=sharing"",""สระแก้ว!I442"")"),22)</f>
        <v>22</v>
      </c>
      <c r="J547" s="189">
        <f ca="1">IFERROR(__xludf.DUMMYFUNCTION("IMPORTRANGE(""https://docs.google.com/spreadsheets/d/1SX6NBoVAgQJ6U1MVXOaj8PK2l7WJ3RER9xtqwdhxkhw/edit?usp=sharing"",""สระแก้ว!J442"")"),22)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IFERROR(__xludf.DUMMYFUNCTION("IMPORTRANGE(""https://docs.google.com/spreadsheets/d/1SX6NBoVAgQJ6U1MVXOaj8PK2l7WJ3RER9xtqwdhxkhw/edit?usp=sharing"",""สระแก้ว!J166"")"),0)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IFERROR(__xludf.DUMMYFUNCTION("IMPORTRANGE(""https://docs.google.com/spreadsheets/d/1SX6NBoVAgQJ6U1MVXOaj8PK2l7WJ3RER9xtqwdhxkhw/edit?usp=sharing"",""สระแก้ว!J444"")"),0)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IFERROR(__xludf.DUMMYFUNCTION("IMPORTRANGE(""https://docs.google.com/spreadsheets/d/1SX6NBoVAgQJ6U1MVXOaj8PK2l7WJ3RER9xtqwdhxkhw/edit?usp=sharing"",""สระแก้ว!L447"")"),0)</f>
        <v>0</v>
      </c>
      <c r="M552" s="164"/>
      <c r="N552" s="169">
        <f ca="1">IFERROR(__xludf.DUMMYFUNCTION("IMPORTRANGE(""https://docs.google.com/spreadsheets/d/1SX6NBoVAgQJ6U1MVXOaj8PK2l7WJ3RER9xtqwdhxkhw/edit?usp=sharing"",""สระแก้ว!M447"")"),0)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IFERROR(__xludf.DUMMYFUNCTION("IMPORTRANGE(""https://docs.google.com/spreadsheets/d/1SX6NBoVAgQJ6U1MVXOaj8PK2l7WJ3RER9xtqwdhxkhw/edit?usp=sharing"",""สระแก้ว!L448"")"),0)</f>
        <v>0</v>
      </c>
      <c r="M553" s="165"/>
      <c r="N553" s="169">
        <f ca="1">IFERROR(__xludf.DUMMYFUNCTION("IMPORTRANGE(""https://docs.google.com/spreadsheets/d/1SX6NBoVAgQJ6U1MVXOaj8PK2l7WJ3RER9xtqwdhxkhw/edit?usp=sharing"",""สระแก้ว!M448"")"),0)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IFERROR(__xludf.DUMMYFUNCTION("IMPORTRANGE(""https://docs.google.com/spreadsheets/d/1SX6NBoVAgQJ6U1MVXOaj8PK2l7WJ3RER9xtqwdhxkhw/edit?usp=sharing"",""สระแก้ว!L449"")"),0)</f>
        <v>0</v>
      </c>
      <c r="M554" s="169"/>
      <c r="N554" s="169">
        <f ca="1">IFERROR(__xludf.DUMMYFUNCTION("IMPORTRANGE(""https://docs.google.com/spreadsheets/d/1SX6NBoVAgQJ6U1MVXOaj8PK2l7WJ3RER9xtqwdhxkhw/edit?usp=sharing"",""สระแก้ว!M449"")"),0)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IFERROR(__xludf.DUMMYFUNCTION("IMPORTRANGE(""https://docs.google.com/spreadsheets/d/1SX6NBoVAgQJ6U1MVXOaj8PK2l7WJ3RER9xtqwdhxkhw/edit?usp=sharing"",""สระแก้ว!L450"")"),0)</f>
        <v>0</v>
      </c>
      <c r="M555" s="169"/>
      <c r="N555" s="169">
        <f ca="1">IFERROR(__xludf.DUMMYFUNCTION("IMPORTRANGE(""https://docs.google.com/spreadsheets/d/1SX6NBoVAgQJ6U1MVXOaj8PK2l7WJ3RER9xtqwdhxkhw/edit?usp=sharing"",""สระแก้ว!M450"")"),0)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IFERROR(__xludf.DUMMYFUNCTION("IMPORTRANGE(""https://docs.google.com/spreadsheets/d/1SX6NBoVAgQJ6U1MVXOaj8PK2l7WJ3RER9xtqwdhxkhw/edit?usp=sharing"",""สระแก้ว!M451"")"),0)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IFERROR(__xludf.DUMMYFUNCTION("IMPORTRANGE(""https://docs.google.com/spreadsheets/d/1SX6NBoVAgQJ6U1MVXOaj8PK2l7WJ3RER9xtqwdhxkhw/edit?usp=sharing"",""สระแก้ว!M452"")"),0)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IFERROR(__xludf.DUMMYFUNCTION("IMPORTRANGE(""https://docs.google.com/spreadsheets/d/1SX6NBoVAgQJ6U1MVXOaj8PK2l7WJ3RER9xtqwdhxkhw/edit?usp=sharing"",""สระแก้ว!M453"")"),0)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IFERROR(__xludf.DUMMYFUNCTION("IMPORTRANGE(""https://docs.google.com/spreadsheets/d/1SX6NBoVAgQJ6U1MVXOaj8PK2l7WJ3RER9xtqwdhxkhw/edit?usp=sharing"",""สระแก้ว!M454"")"),0)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IFERROR(__xludf.DUMMYFUNCTION("IMPORTRANGE(""https://docs.google.com/spreadsheets/d/1SX6NBoVAgQJ6U1MVXOaj8PK2l7WJ3RER9xtqwdhxkhw/edit?usp=sharing"",""สระแก้ว!I455"")"),0)</f>
        <v>0</v>
      </c>
      <c r="J560" s="162">
        <f ca="1">IFERROR(__xludf.DUMMYFUNCTION("IMPORTRANGE(""https://docs.google.com/spreadsheets/d/1SX6NBoVAgQJ6U1MVXOaj8PK2l7WJ3RER9xtqwdhxkhw/edit?usp=sharing"",""สระแก้ว!J455"")"),0)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IFERROR(__xludf.DUMMYFUNCTION("IMPORTRANGE(""https://docs.google.com/spreadsheets/d/1SX6NBoVAgQJ6U1MVXOaj8PK2l7WJ3RER9xtqwdhxkhw/edit?usp=sharing"",""สระแก้ว!I456"")"),0)</f>
        <v>0</v>
      </c>
      <c r="J561" s="204">
        <f ca="1">IFERROR(__xludf.DUMMYFUNCTION("IMPORTRANGE(""https://docs.google.com/spreadsheets/d/1SX6NBoVAgQJ6U1MVXOaj8PK2l7WJ3RER9xtqwdhxkhw/edit?usp=sharing"",""สระแก้ว!J456"")"),0)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IFERROR(__xludf.DUMMYFUNCTION("IMPORTRANGE(""https://docs.google.com/spreadsheets/d/1SX6NBoVAgQJ6U1MVXOaj8PK2l7WJ3RER9xtqwdhxkhw/edit?usp=sharing"",""สระแก้ว!J459"")"),7677)</f>
        <v>7677</v>
      </c>
      <c r="K564" s="372">
        <f ca="1">IF(I564&gt;0,J564*100/I564,0)</f>
        <v>194.35443037974684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IFERROR(__xludf.DUMMYFUNCTION("IMPORTRANGE(""https://docs.google.com/spreadsheets/d/1SX6NBoVAgQJ6U1MVXOaj8PK2l7WJ3RER9xtqwdhxkhw/edit?usp=sharing"",""สระแก้ว!M459"")"),133665.16)</f>
        <v>133665.16</v>
      </c>
      <c r="O564" s="373">
        <f t="shared" ref="O564:O568" ca="1" si="122">+IF(L564&gt;0,N564*100/L564,0)</f>
        <v>80.715676328502411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IFERROR(__xludf.DUMMYFUNCTION("IMPORTRANGE(""https://docs.google.com/spreadsheets/d/1SX6NBoVAgQJ6U1MVXOaj8PK2l7WJ3RER9xtqwdhxkhw/edit?usp=sharing"",""สระแก้ว!L460"")"),0)</f>
        <v>0</v>
      </c>
      <c r="M565" s="164"/>
      <c r="N565" s="169">
        <f ca="1">IFERROR(__xludf.DUMMYFUNCTION("IMPORTRANGE(""https://docs.google.com/spreadsheets/d/1SX6NBoVAgQJ6U1MVXOaj8PK2l7WJ3RER9xtqwdhxkhw/edit?usp=sharing"",""สระแก้ว!M460"")"),0)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IFERROR(__xludf.DUMMYFUNCTION("IMPORTRANGE(""https://docs.google.com/spreadsheets/d/1SX6NBoVAgQJ6U1MVXOaj8PK2l7WJ3RER9xtqwdhxkhw/edit?usp=sharing"",""สระแก้ว!L461"")"),165600)</f>
        <v>165600</v>
      </c>
      <c r="M566" s="165"/>
      <c r="N566" s="169">
        <f ca="1">IFERROR(__xludf.DUMMYFUNCTION("IMPORTRANGE(""https://docs.google.com/spreadsheets/d/1SX6NBoVAgQJ6U1MVXOaj8PK2l7WJ3RER9xtqwdhxkhw/edit?usp=sharing"",""สระแก้ว!M461"")"),133665.16)</f>
        <v>133665.16</v>
      </c>
      <c r="O566" s="169">
        <f t="shared" ca="1" si="122"/>
        <v>80.715676328502411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IFERROR(__xludf.DUMMYFUNCTION("IMPORTRANGE(""https://docs.google.com/spreadsheets/d/1SX6NBoVAgQJ6U1MVXOaj8PK2l7WJ3RER9xtqwdhxkhw/edit?usp=sharing"",""สระแก้ว!L462"")"),0)</f>
        <v>0</v>
      </c>
      <c r="M567" s="169"/>
      <c r="N567" s="169">
        <f ca="1">IFERROR(__xludf.DUMMYFUNCTION("IMPORTRANGE(""https://docs.google.com/spreadsheets/d/1SX6NBoVAgQJ6U1MVXOaj8PK2l7WJ3RER9xtqwdhxkhw/edit?usp=sharing"",""สระแก้ว!M462"")"),0)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IFERROR(__xludf.DUMMYFUNCTION("IMPORTRANGE(""https://docs.google.com/spreadsheets/d/1SX6NBoVAgQJ6U1MVXOaj8PK2l7WJ3RER9xtqwdhxkhw/edit?usp=sharing"",""สระแก้ว!L463"")"),165600)</f>
        <v>165600</v>
      </c>
      <c r="M568" s="169"/>
      <c r="N568" s="169">
        <f ca="1">IFERROR(__xludf.DUMMYFUNCTION("IMPORTRANGE(""https://docs.google.com/spreadsheets/d/1SX6NBoVAgQJ6U1MVXOaj8PK2l7WJ3RER9xtqwdhxkhw/edit?usp=sharing"",""สระแก้ว!M463"")"),133665.16)</f>
        <v>133665.16</v>
      </c>
      <c r="O568" s="169">
        <f t="shared" ca="1" si="122"/>
        <v>80.715676328502411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IFERROR(__xludf.DUMMYFUNCTION("IMPORTRANGE(""https://docs.google.com/spreadsheets/d/1SX6NBoVAgQJ6U1MVXOaj8PK2l7WJ3RER9xtqwdhxkhw/edit?usp=sharing"",""สระแก้ว!M464"")"),0)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IFERROR(__xludf.DUMMYFUNCTION("IMPORTRANGE(""https://docs.google.com/spreadsheets/d/1SX6NBoVAgQJ6U1MVXOaj8PK2l7WJ3RER9xtqwdhxkhw/edit?usp=sharing"",""สระแก้ว!M465"")"),0)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IFERROR(__xludf.DUMMYFUNCTION("IMPORTRANGE(""https://docs.google.com/spreadsheets/d/1SX6NBoVAgQJ6U1MVXOaj8PK2l7WJ3RER9xtqwdhxkhw/edit?usp=sharing"",""สระแก้ว!M466"")"),76645.16)</f>
        <v>76645.16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IFERROR(__xludf.DUMMYFUNCTION("IMPORTRANGE(""https://docs.google.com/spreadsheets/d/1SX6NBoVAgQJ6U1MVXOaj8PK2l7WJ3RER9xtqwdhxkhw/edit?usp=sharing"",""สระแก้ว!M467"")"),57020)</f>
        <v>57020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IFERROR(__xludf.DUMMYFUNCTION("IMPORTRANGE(""https://docs.google.com/spreadsheets/d/1SX6NBoVAgQJ6U1MVXOaj8PK2l7WJ3RER9xtqwdhxkhw/edit?usp=sharing"",""สระแก้ว!J468"")"),7677)</f>
        <v>7677</v>
      </c>
      <c r="K573" s="202">
        <f ca="1">IF(I573&gt;0,J573*100/I573,0)</f>
        <v>194.35443037974684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IFERROR(__xludf.DUMMYFUNCTION("IMPORTRANGE(""https://docs.google.com/spreadsheets/d/1SX6NBoVAgQJ6U1MVXOaj8PK2l7WJ3RER9xtqwdhxkhw/edit?usp=sharing"",""สระแก้ว!I470"")"),0)</f>
        <v>0</v>
      </c>
      <c r="J575" s="198">
        <f ca="1">IFERROR(__xludf.DUMMYFUNCTION("IMPORTRANGE(""https://docs.google.com/spreadsheets/d/1SX6NBoVAgQJ6U1MVXOaj8PK2l7WJ3RER9xtqwdhxkhw/edit?usp=sharing"",""สระแก้ว!J470"")"),7)</f>
        <v>7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IFERROR(__xludf.DUMMYFUNCTION("IMPORTRANGE(""https://docs.google.com/spreadsheets/d/1SX6NBoVAgQJ6U1MVXOaj8PK2l7WJ3RER9xtqwdhxkhw/edit?usp=sharing"",""สระแก้ว!I471"")"),0)</f>
        <v>0</v>
      </c>
      <c r="J576" s="198">
        <f ca="1">IFERROR(__xludf.DUMMYFUNCTION("IMPORTRANGE(""https://docs.google.com/spreadsheets/d/1SX6NBoVAgQJ6U1MVXOaj8PK2l7WJ3RER9xtqwdhxkhw/edit?usp=sharing"",""สระแก้ว!J471"")"),137)</f>
        <v>137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IFERROR(__xludf.DUMMYFUNCTION("IMPORTRANGE(""https://docs.google.com/spreadsheets/d/1SX6NBoVAgQJ6U1MVXOaj8PK2l7WJ3RER9xtqwdhxkhw/edit?usp=sharing"",""สระแก้ว!I472"")"),0)</f>
        <v>0</v>
      </c>
      <c r="J577" s="189">
        <f ca="1">IFERROR(__xludf.DUMMYFUNCTION("IMPORTRANGE(""https://docs.google.com/spreadsheets/d/1SX6NBoVAgQJ6U1MVXOaj8PK2l7WJ3RER9xtqwdhxkhw/edit?usp=sharing"",""สระแก้ว!J472"")"),7540)</f>
        <v>7540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IFERROR(__xludf.DUMMYFUNCTION("IMPORTRANGE(""https://docs.google.com/spreadsheets/d/1SX6NBoVAgQJ6U1MVXOaj8PK2l7WJ3RER9xtqwdhxkhw/edit?usp=sharing"",""สระแก้ว!I473"")"),0)</f>
        <v>0</v>
      </c>
      <c r="J578" s="198">
        <f ca="1">IFERROR(__xludf.DUMMYFUNCTION("IMPORTRANGE(""https://docs.google.com/spreadsheets/d/1SX6NBoVAgQJ6U1MVXOaj8PK2l7WJ3RER9xtqwdhxkhw/edit?usp=sharing"",""สระแก้ว!J473"")"),0)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IFERROR(__xludf.DUMMYFUNCTION("IMPORTRANGE(""https://docs.google.com/spreadsheets/d/1SX6NBoVAgQJ6U1MVXOaj8PK2l7WJ3RER9xtqwdhxkhw/edit?usp=sharing"",""สระแก้ว!I474"")"),0)</f>
        <v>0</v>
      </c>
      <c r="J579" s="198">
        <f ca="1">IFERROR(__xludf.DUMMYFUNCTION("IMPORTRANGE(""https://docs.google.com/spreadsheets/d/1SX6NBoVAgQJ6U1MVXOaj8PK2l7WJ3RER9xtqwdhxkhw/edit?usp=sharing"",""สระแก้ว!J474"")"),0)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IFERROR(__xludf.DUMMYFUNCTION("IMPORTRANGE(""https://docs.google.com/spreadsheets/d/1SX6NBoVAgQJ6U1MVXOaj8PK2l7WJ3RER9xtqwdhxkhw/edit?usp=sharing"",""สระแก้ว!L475"")"),370563)</f>
        <v>370563</v>
      </c>
      <c r="M580" s="373"/>
      <c r="N580" s="373">
        <f ca="1">IFERROR(__xludf.DUMMYFUNCTION("IMPORTRANGE(""https://docs.google.com/spreadsheets/d/1SX6NBoVAgQJ6U1MVXOaj8PK2l7WJ3RER9xtqwdhxkhw/edit?usp=sharing"",""สระแก้ว!M475"")"),123530.91)</f>
        <v>123530.91</v>
      </c>
      <c r="O580" s="373">
        <f t="shared" ref="O580:O584" ca="1" si="124">+IF(L580&gt;0,N580*100/L580,0)</f>
        <v>33.336007642425173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IFERROR(__xludf.DUMMYFUNCTION("IMPORTRANGE(""https://docs.google.com/spreadsheets/d/1SX6NBoVAgQJ6U1MVXOaj8PK2l7WJ3RER9xtqwdhxkhw/edit?usp=sharing"",""สระแก้ว!L476"")"),0)</f>
        <v>0</v>
      </c>
      <c r="M581" s="164"/>
      <c r="N581" s="169">
        <f ca="1">IFERROR(__xludf.DUMMYFUNCTION("IMPORTRANGE(""https://docs.google.com/spreadsheets/d/1SX6NBoVAgQJ6U1MVXOaj8PK2l7WJ3RER9xtqwdhxkhw/edit?usp=sharing"",""สระแก้ว!M476"")"),0)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IFERROR(__xludf.DUMMYFUNCTION("IMPORTRANGE(""https://docs.google.com/spreadsheets/d/1SX6NBoVAgQJ6U1MVXOaj8PK2l7WJ3RER9xtqwdhxkhw/edit?usp=sharing"",""สระแก้ว!L477"")"),370563)</f>
        <v>370563</v>
      </c>
      <c r="M582" s="165"/>
      <c r="N582" s="169">
        <f ca="1">IFERROR(__xludf.DUMMYFUNCTION("IMPORTRANGE(""https://docs.google.com/spreadsheets/d/1SX6NBoVAgQJ6U1MVXOaj8PK2l7WJ3RER9xtqwdhxkhw/edit?usp=sharing"",""สระแก้ว!M477"")"),123530.91)</f>
        <v>123530.91</v>
      </c>
      <c r="O582" s="169">
        <f t="shared" ca="1" si="124"/>
        <v>33.336007642425173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IFERROR(__xludf.DUMMYFUNCTION("IMPORTRANGE(""https://docs.google.com/spreadsheets/d/1SX6NBoVAgQJ6U1MVXOaj8PK2l7WJ3RER9xtqwdhxkhw/edit?usp=sharing"",""สระแก้ว!L478"")"),0)</f>
        <v>0</v>
      </c>
      <c r="M583" s="169"/>
      <c r="N583" s="169">
        <f ca="1">IFERROR(__xludf.DUMMYFUNCTION("IMPORTRANGE(""https://docs.google.com/spreadsheets/d/1SX6NBoVAgQJ6U1MVXOaj8PK2l7WJ3RER9xtqwdhxkhw/edit?usp=sharing"",""สระแก้ว!M478"")"),0)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IFERROR(__xludf.DUMMYFUNCTION("IMPORTRANGE(""https://docs.google.com/spreadsheets/d/1SX6NBoVAgQJ6U1MVXOaj8PK2l7WJ3RER9xtqwdhxkhw/edit?usp=sharing"",""สระแก้ว!L479"")"),370563)</f>
        <v>370563</v>
      </c>
      <c r="M584" s="169"/>
      <c r="N584" s="169">
        <f ca="1">IFERROR(__xludf.DUMMYFUNCTION("IMPORTRANGE(""https://docs.google.com/spreadsheets/d/1SX6NBoVAgQJ6U1MVXOaj8PK2l7WJ3RER9xtqwdhxkhw/edit?usp=sharing"",""สระแก้ว!M479"")"),123530.91)</f>
        <v>123530.91</v>
      </c>
      <c r="O584" s="169">
        <f t="shared" ca="1" si="124"/>
        <v>33.336007642425173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IFERROR(__xludf.DUMMYFUNCTION("IMPORTRANGE(""https://docs.google.com/spreadsheets/d/1SX6NBoVAgQJ6U1MVXOaj8PK2l7WJ3RER9xtqwdhxkhw/edit?usp=sharing"",""สระแก้ว!M480"")"),0)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IFERROR(__xludf.DUMMYFUNCTION("IMPORTRANGE(""https://docs.google.com/spreadsheets/d/1SX6NBoVAgQJ6U1MVXOaj8PK2l7WJ3RER9xtqwdhxkhw/edit?usp=sharing"",""สระแก้ว!M481"")"),0)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IFERROR(__xludf.DUMMYFUNCTION("IMPORTRANGE(""https://docs.google.com/spreadsheets/d/1SX6NBoVAgQJ6U1MVXOaj8PK2l7WJ3RER9xtqwdhxkhw/edit?usp=sharing"",""สระแก้ว!M482"")"),82410.91)</f>
        <v>82410.91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IFERROR(__xludf.DUMMYFUNCTION("IMPORTRANGE(""https://docs.google.com/spreadsheets/d/1SX6NBoVAgQJ6U1MVXOaj8PK2l7WJ3RER9xtqwdhxkhw/edit?usp=sharing"",""สระแก้ว!M483"")"),41120)</f>
        <v>41120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IFERROR(__xludf.DUMMYFUNCTION("IMPORTRANGE(""https://docs.google.com/spreadsheets/d/1SX6NBoVAgQJ6U1MVXOaj8PK2l7WJ3RER9xtqwdhxkhw/edit?usp=sharing"",""สระแก้ว!I484"")"),213)</f>
        <v>213</v>
      </c>
      <c r="J589" s="188">
        <f ca="1">IFERROR(__xludf.DUMMYFUNCTION("IMPORTRANGE(""https://docs.google.com/spreadsheets/d/1SX6NBoVAgQJ6U1MVXOaj8PK2l7WJ3RER9xtqwdhxkhw/edit?usp=sharing"",""สระแก้ว!J484"")"),28)</f>
        <v>28</v>
      </c>
      <c r="K589" s="163">
        <f t="shared" ref="K589:K596" ca="1" si="125">IF(I589&gt;0,J589*100/I589,0)</f>
        <v>13.145539906103286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8">
        <f ca="1">IFERROR(__xludf.DUMMYFUNCTION("IMPORTRANGE(""https://docs.google.com/spreadsheets/d/1SX6NBoVAgQJ6U1MVXOaj8PK2l7WJ3RER9xtqwdhxkhw/edit?usp=sharing"",""สระแก้ว!J485"")"),24.02)</f>
        <v>24.02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IFERROR(__xludf.DUMMYFUNCTION("IMPORTRANGE(""https://docs.google.com/spreadsheets/d/1SX6NBoVAgQJ6U1MVXOaj8PK2l7WJ3RER9xtqwdhxkhw/edit?usp=sharing"",""สระแก้ว!I486"")"),213)</f>
        <v>213</v>
      </c>
      <c r="J591" s="188">
        <f ca="1">IFERROR(__xludf.DUMMYFUNCTION("IMPORTRANGE(""https://docs.google.com/spreadsheets/d/1SX6NBoVAgQJ6U1MVXOaj8PK2l7WJ3RER9xtqwdhxkhw/edit?usp=sharing"",""สระแก้ว!J486"")"),0)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8">
        <f ca="1">IFERROR(__xludf.DUMMYFUNCTION("IMPORTRANGE(""https://docs.google.com/spreadsheets/d/1SX6NBoVAgQJ6U1MVXOaj8PK2l7WJ3RER9xtqwdhxkhw/edit?usp=sharing"",""สระแก้ว!J487"")"),0)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IFERROR(__xludf.DUMMYFUNCTION("IMPORTRANGE(""https://docs.google.com/spreadsheets/d/1SX6NBoVAgQJ6U1MVXOaj8PK2l7WJ3RER9xtqwdhxkhw/edit?usp=sharing"",""สระแก้ว!I488"")"),213)</f>
        <v>213</v>
      </c>
      <c r="J593" s="188">
        <f ca="1">IFERROR(__xludf.DUMMYFUNCTION("IMPORTRANGE(""https://docs.google.com/spreadsheets/d/1SX6NBoVAgQJ6U1MVXOaj8PK2l7WJ3RER9xtqwdhxkhw/edit?usp=sharing"",""สระแก้ว!J488"")"),0)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8">
        <f ca="1">IFERROR(__xludf.DUMMYFUNCTION("IMPORTRANGE(""https://docs.google.com/spreadsheets/d/1SX6NBoVAgQJ6U1MVXOaj8PK2l7WJ3RER9xtqwdhxkhw/edit?usp=sharing"",""สระแก้ว!J489"")"),0)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IFERROR(__xludf.DUMMYFUNCTION("IMPORTRANGE(""https://docs.google.com/spreadsheets/d/1SX6NBoVAgQJ6U1MVXOaj8PK2l7WJ3RER9xtqwdhxkhw/edit?usp=sharing"",""สระแก้ว!I490"")"),213)</f>
        <v>213</v>
      </c>
      <c r="J595" s="188">
        <f ca="1">IFERROR(__xludf.DUMMYFUNCTION("IMPORTRANGE(""https://docs.google.com/spreadsheets/d/1SX6NBoVAgQJ6U1MVXOaj8PK2l7WJ3RER9xtqwdhxkhw/edit?usp=sharing"",""สระแก้ว!J490"")"),0)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IFERROR(__xludf.DUMMYFUNCTION("IMPORTRANGE(""https://docs.google.com/spreadsheets/d/1SX6NBoVAgQJ6U1MVXOaj8PK2l7WJ3RER9xtqwdhxkhw/edit?usp=sharing"",""สระแก้ว!I491"")"),0)</f>
        <v>0</v>
      </c>
      <c r="J596" s="242">
        <f ca="1">IFERROR(__xludf.DUMMYFUNCTION("IMPORTRANGE(""https://docs.google.com/spreadsheets/d/1SX6NBoVAgQJ6U1MVXOaj8PK2l7WJ3RER9xtqwdhxkhw/edit?usp=sharing"",""สระแก้ว!J491"")"),0)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7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IFERROR(__xludf.DUMMYFUNCTION("IMPORTRANGE(""https://docs.google.com/spreadsheets/d/1SX6NBoVAgQJ6U1MVXOaj8PK2l7WJ3RER9xtqwdhxkhw/edit?usp=sharing"",""สระแก้ว!L492"")"),12900)</f>
        <v>12900</v>
      </c>
      <c r="M597" s="412"/>
      <c r="N597" s="412">
        <f ca="1">IFERROR(__xludf.DUMMYFUNCTION("IMPORTRANGE(""https://docs.google.com/spreadsheets/d/1SX6NBoVAgQJ6U1MVXOaj8PK2l7WJ3RER9xtqwdhxkhw/edit?usp=sharing"",""สระแก้ว!M492"")"),7400)</f>
        <v>7400</v>
      </c>
      <c r="O597" s="412">
        <f t="shared" ref="O597:O601" ca="1" si="126">+IF(L597&gt;0,N597*100/L597,0)</f>
        <v>57.36434108527132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IFERROR(__xludf.DUMMYFUNCTION("IMPORTRANGE(""https://docs.google.com/spreadsheets/d/1SX6NBoVAgQJ6U1MVXOaj8PK2l7WJ3RER9xtqwdhxkhw/edit?usp=sharing"",""สระแก้ว!L493"")"),0)</f>
        <v>0</v>
      </c>
      <c r="M598" s="164"/>
      <c r="N598" s="169">
        <f ca="1">IFERROR(__xludf.DUMMYFUNCTION("IMPORTRANGE(""https://docs.google.com/spreadsheets/d/1SX6NBoVAgQJ6U1MVXOaj8PK2l7WJ3RER9xtqwdhxkhw/edit?usp=sharing"",""สระแก้ว!M493"")"),0)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IFERROR(__xludf.DUMMYFUNCTION("IMPORTRANGE(""https://docs.google.com/spreadsheets/d/1SX6NBoVAgQJ6U1MVXOaj8PK2l7WJ3RER9xtqwdhxkhw/edit?usp=sharing"",""สระแก้ว!L494"")"),12900)</f>
        <v>12900</v>
      </c>
      <c r="M599" s="165"/>
      <c r="N599" s="169">
        <f ca="1">IFERROR(__xludf.DUMMYFUNCTION("IMPORTRANGE(""https://docs.google.com/spreadsheets/d/1SX6NBoVAgQJ6U1MVXOaj8PK2l7WJ3RER9xtqwdhxkhw/edit?usp=sharing"",""สระแก้ว!M494"")"),7400)</f>
        <v>7400</v>
      </c>
      <c r="O599" s="169">
        <f t="shared" ca="1" si="126"/>
        <v>57.36434108527132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IFERROR(__xludf.DUMMYFUNCTION("IMPORTRANGE(""https://docs.google.com/spreadsheets/d/1SX6NBoVAgQJ6U1MVXOaj8PK2l7WJ3RER9xtqwdhxkhw/edit?usp=sharing"",""สระแก้ว!L495"")"),0)</f>
        <v>0</v>
      </c>
      <c r="M600" s="169"/>
      <c r="N600" s="169">
        <f ca="1">IFERROR(__xludf.DUMMYFUNCTION("IMPORTRANGE(""https://docs.google.com/spreadsheets/d/1SX6NBoVAgQJ6U1MVXOaj8PK2l7WJ3RER9xtqwdhxkhw/edit?usp=sharing"",""สระแก้ว!M495"")"),0)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IFERROR(__xludf.DUMMYFUNCTION("IMPORTRANGE(""https://docs.google.com/spreadsheets/d/1SX6NBoVAgQJ6U1MVXOaj8PK2l7WJ3RER9xtqwdhxkhw/edit?usp=sharing"",""สระแก้ว!L496"")"),12900)</f>
        <v>12900</v>
      </c>
      <c r="M601" s="169"/>
      <c r="N601" s="169">
        <f ca="1">IFERROR(__xludf.DUMMYFUNCTION("IMPORTRANGE(""https://docs.google.com/spreadsheets/d/1SX6NBoVAgQJ6U1MVXOaj8PK2l7WJ3RER9xtqwdhxkhw/edit?usp=sharing"",""สระแก้ว!M496"")"),7400)</f>
        <v>7400</v>
      </c>
      <c r="O601" s="169">
        <f t="shared" ca="1" si="126"/>
        <v>57.36434108527132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IFERROR(__xludf.DUMMYFUNCTION("IMPORTRANGE(""https://docs.google.com/spreadsheets/d/1SX6NBoVAgQJ6U1MVXOaj8PK2l7WJ3RER9xtqwdhxkhw/edit?usp=sharing"",""สระแก้ว!M497"")"),0)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IFERROR(__xludf.DUMMYFUNCTION("IMPORTRANGE(""https://docs.google.com/spreadsheets/d/1SX6NBoVAgQJ6U1MVXOaj8PK2l7WJ3RER9xtqwdhxkhw/edit?usp=sharing"",""สระแก้ว!M498"")"),0)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IFERROR(__xludf.DUMMYFUNCTION("IMPORTRANGE(""https://docs.google.com/spreadsheets/d/1SX6NBoVAgQJ6U1MVXOaj8PK2l7WJ3RER9xtqwdhxkhw/edit?usp=sharing"",""สระแก้ว!M499"")"),3600)</f>
        <v>3600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IFERROR(__xludf.DUMMYFUNCTION("IMPORTRANGE(""https://docs.google.com/spreadsheets/d/1SX6NBoVAgQJ6U1MVXOaj8PK2l7WJ3RER9xtqwdhxkhw/edit?usp=sharing"",""สระแก้ว!M500"")"),3800)</f>
        <v>3800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IFERROR(__xludf.DUMMYFUNCTION("IMPORTRANGE(""https://docs.google.com/spreadsheets/d/1SX6NBoVAgQJ6U1MVXOaj8PK2l7WJ3RER9xtqwdhxkhw/edit?usp=sharing"",""สระแก้ว!J502"")"),0)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IFERROR(__xludf.DUMMYFUNCTION("IMPORTRANGE(""https://docs.google.com/spreadsheets/d/1SX6NBoVAgQJ6U1MVXOaj8PK2l7WJ3RER9xtqwdhxkhw/edit?usp=sharing"",""สระแก้ว!J503"")"),1)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IFERROR(__xludf.DUMMYFUNCTION("IMPORTRANGE(""https://docs.google.com/spreadsheets/d/1SX6NBoVAgQJ6U1MVXOaj8PK2l7WJ3RER9xtqwdhxkhw/edit?usp=sharing"",""สระแก้ว!J166"")"),0)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IFERROR(__xludf.DUMMYFUNCTION("IMPORTRANGE(""https://docs.google.com/spreadsheets/d/1SX6NBoVAgQJ6U1MVXOaj8PK2l7WJ3RER9xtqwdhxkhw/edit?usp=sharing"",""สระแก้ว!J166"")"),0)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IFERROR(__xludf.DUMMYFUNCTION("IMPORTRANGE(""https://docs.google.com/spreadsheets/d/1SX6NBoVAgQJ6U1MVXOaj8PK2l7WJ3RER9xtqwdhxkhw/edit?usp=sharing"",""สระแก้ว!I506"")"),100)</f>
        <v>100</v>
      </c>
      <c r="J611" s="162">
        <f ca="1">IFERROR(__xludf.DUMMYFUNCTION("IMPORTRANGE(""https://docs.google.com/spreadsheets/d/1SX6NBoVAgQJ6U1MVXOaj8PK2l7WJ3RER9xtqwdhxkhw/edit?usp=sharing"",""สระแก้ว!J506"")"),0)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IFERROR(__xludf.DUMMYFUNCTION("IMPORTRANGE(""https://docs.google.com/spreadsheets/d/1SX6NBoVAgQJ6U1MVXOaj8PK2l7WJ3RER9xtqwdhxkhw/edit?usp=sharing"",""สระแก้ว!I507"")"),0)</f>
        <v>0</v>
      </c>
      <c r="J612" s="198">
        <f ca="1">IFERROR(__xludf.DUMMYFUNCTION("IMPORTRANGE(""https://docs.google.com/spreadsheets/d/1SX6NBoVAgQJ6U1MVXOaj8PK2l7WJ3RER9xtqwdhxkhw/edit?usp=sharing"",""สระแก้ว!J507"")"),199)</f>
        <v>199</v>
      </c>
      <c r="K612" s="163">
        <f t="shared" ca="1" si="127"/>
        <v>199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IFERROR(__xludf.DUMMYFUNCTION("IMPORTRANGE(""https://docs.google.com/spreadsheets/d/1SX6NBoVAgQJ6U1MVXOaj8PK2l7WJ3RER9xtqwdhxkhw/edit?usp=sharing"",""สระแก้ว!I508"")"),0)</f>
        <v>0</v>
      </c>
      <c r="J613" s="198">
        <f ca="1">IFERROR(__xludf.DUMMYFUNCTION("IMPORTRANGE(""https://docs.google.com/spreadsheets/d/1SX6NBoVAgQJ6U1MVXOaj8PK2l7WJ3RER9xtqwdhxkhw/edit?usp=sharing"",""สระแก้ว!J508"")"),199)</f>
        <v>199</v>
      </c>
      <c r="K613" s="163">
        <f t="shared" ca="1" si="127"/>
        <v>199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IFERROR(__xludf.DUMMYFUNCTION("IMPORTRANGE(""https://docs.google.com/spreadsheets/d/1SX6NBoVAgQJ6U1MVXOaj8PK2l7WJ3RER9xtqwdhxkhw/edit?usp=sharing"",""สระแก้ว!I509"")"),0)</f>
        <v>0</v>
      </c>
      <c r="J614" s="198">
        <f ca="1">IFERROR(__xludf.DUMMYFUNCTION("IMPORTRANGE(""https://docs.google.com/spreadsheets/d/1SX6NBoVAgQJ6U1MVXOaj8PK2l7WJ3RER9xtqwdhxkhw/edit?usp=sharing"",""สระแก้ว!J509"")"),199)</f>
        <v>199</v>
      </c>
      <c r="K614" s="163">
        <f t="shared" ca="1" si="127"/>
        <v>199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IFERROR(__xludf.DUMMYFUNCTION("IMPORTRANGE(""https://docs.google.com/spreadsheets/d/1SX6NBoVAgQJ6U1MVXOaj8PK2l7WJ3RER9xtqwdhxkhw/edit?usp=sharing"",""สระแก้ว!I510"")"),0)</f>
        <v>0</v>
      </c>
      <c r="J615" s="198">
        <f ca="1">IFERROR(__xludf.DUMMYFUNCTION("IMPORTRANGE(""https://docs.google.com/spreadsheets/d/1SX6NBoVAgQJ6U1MVXOaj8PK2l7WJ3RER9xtqwdhxkhw/edit?usp=sharing"",""สระแก้ว!J510"")"),199)</f>
        <v>199</v>
      </c>
      <c r="K615" s="163">
        <f t="shared" ca="1" si="127"/>
        <v>199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IFERROR(__xludf.DUMMYFUNCTION("IMPORTRANGE(""https://docs.google.com/spreadsheets/d/1SX6NBoVAgQJ6U1MVXOaj8PK2l7WJ3RER9xtqwdhxkhw/edit?usp=sharing"",""สระแก้ว!I511"")"),0)</f>
        <v>0</v>
      </c>
      <c r="J616" s="198">
        <f ca="1">IFERROR(__xludf.DUMMYFUNCTION("IMPORTRANGE(""https://docs.google.com/spreadsheets/d/1SX6NBoVAgQJ6U1MVXOaj8PK2l7WJ3RER9xtqwdhxkhw/edit?usp=sharing"",""สระแก้ว!J511"")"),0)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IFERROR(__xludf.DUMMYFUNCTION("IMPORTRANGE(""https://docs.google.com/spreadsheets/d/1SX6NBoVAgQJ6U1MVXOaj8PK2l7WJ3RER9xtqwdhxkhw/edit?usp=sharing"",""สระแก้ว!I512"")"),0)</f>
        <v>0</v>
      </c>
      <c r="J617" s="188">
        <f ca="1">IFERROR(__xludf.DUMMYFUNCTION("IMPORTRANGE(""https://docs.google.com/spreadsheets/d/1SX6NBoVAgQJ6U1MVXOaj8PK2l7WJ3RER9xtqwdhxkhw/edit?usp=sharing"",""สระแก้ว!J512"")"),0)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IFERROR(__xludf.DUMMYFUNCTION("IMPORTRANGE(""https://docs.google.com/spreadsheets/d/1SX6NBoVAgQJ6U1MVXOaj8PK2l7WJ3RER9xtqwdhxkhw/edit?usp=sharing"",""สระแก้ว!I513"")"),0)</f>
        <v>0</v>
      </c>
      <c r="J618" s="189">
        <f ca="1">IFERROR(__xludf.DUMMYFUNCTION("IMPORTRANGE(""https://docs.google.com/spreadsheets/d/1SX6NBoVAgQJ6U1MVXOaj8PK2l7WJ3RER9xtqwdhxkhw/edit?usp=sharing"",""สระแก้ว!J513"")"),0)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IFERROR(__xludf.DUMMYFUNCTION("IMPORTRANGE(""https://docs.google.com/spreadsheets/d/1SX6NBoVAgQJ6U1MVXOaj8PK2l7WJ3RER9xtqwdhxkhw/edit?usp=sharing"",""สระแก้ว!I514"")"),0)</f>
        <v>0</v>
      </c>
      <c r="J619" s="189">
        <f ca="1">IFERROR(__xludf.DUMMYFUNCTION("IMPORTRANGE(""https://docs.google.com/spreadsheets/d/1SX6NBoVAgQJ6U1MVXOaj8PK2l7WJ3RER9xtqwdhxkhw/edit?usp=sharing"",""สระแก้ว!J514"")"),0)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IFERROR(__xludf.DUMMYFUNCTION("IMPORTRANGE(""https://docs.google.com/spreadsheets/d/1SX6NBoVAgQJ6U1MVXOaj8PK2l7WJ3RER9xtqwdhxkhw/edit?usp=sharing"",""สระแก้ว!I515"")"),0)</f>
        <v>0</v>
      </c>
      <c r="J620" s="203">
        <f ca="1">IFERROR(__xludf.DUMMYFUNCTION("IMPORTRANGE(""https://docs.google.com/spreadsheets/d/1SX6NBoVAgQJ6U1MVXOaj8PK2l7WJ3RER9xtqwdhxkhw/edit?usp=sharing"",""สระแก้ว!J515"")"),0)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IFERROR(__xludf.DUMMYFUNCTION("IMPORTRANGE(""https://docs.google.com/spreadsheets/d/1SX6NBoVAgQJ6U1MVXOaj8PK2l7WJ3RER9xtqwdhxkhw/edit?usp=sharing"",""สระแก้ว!I516"")"),0)</f>
        <v>0</v>
      </c>
      <c r="J621" s="203">
        <f ca="1">IFERROR(__xludf.DUMMYFUNCTION("IMPORTRANGE(""https://docs.google.com/spreadsheets/d/1SX6NBoVAgQJ6U1MVXOaj8PK2l7WJ3RER9xtqwdhxkhw/edit?usp=sharing"",""สระแก้ว!J516"")"),0)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IFERROR(__xludf.DUMMYFUNCTION("IMPORTRANGE(""https://docs.google.com/spreadsheets/d/1SX6NBoVAgQJ6U1MVXOaj8PK2l7WJ3RER9xtqwdhxkhw/edit?usp=sharing"",""สระแก้ว!I517"")"),0)</f>
        <v>0</v>
      </c>
      <c r="J622" s="189">
        <f ca="1">IFERROR(__xludf.DUMMYFUNCTION("IMPORTRANGE(""https://docs.google.com/spreadsheets/d/1SX6NBoVAgQJ6U1MVXOaj8PK2l7WJ3RER9xtqwdhxkhw/edit?usp=sharing"",""สระแก้ว!J517"")"),0)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IFERROR(__xludf.DUMMYFUNCTION("IMPORTRANGE(""https://docs.google.com/spreadsheets/d/1SX6NBoVAgQJ6U1MVXOaj8PK2l7WJ3RER9xtqwdhxkhw/edit?usp=sharing"",""สระแก้ว!I518"")"),0)</f>
        <v>0</v>
      </c>
      <c r="J623" s="189">
        <f ca="1">IFERROR(__xludf.DUMMYFUNCTION("IMPORTRANGE(""https://docs.google.com/spreadsheets/d/1SX6NBoVAgQJ6U1MVXOaj8PK2l7WJ3RER9xtqwdhxkhw/edit?usp=sharing"",""สระแก้ว!J518"")"),0)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IFERROR(__xludf.DUMMYFUNCTION("IMPORTRANGE(""https://docs.google.com/spreadsheets/d/1SX6NBoVAgQJ6U1MVXOaj8PK2l7WJ3RER9xtqwdhxkhw/edit?usp=sharing"",""สระแก้ว!I519"")"),0)</f>
        <v>0</v>
      </c>
      <c r="J624" s="188">
        <f ca="1">IFERROR(__xludf.DUMMYFUNCTION("IMPORTRANGE(""https://docs.google.com/spreadsheets/d/1SX6NBoVAgQJ6U1MVXOaj8PK2l7WJ3RER9xtqwdhxkhw/edit?usp=sharing"",""สระแก้ว!J519"")"),0)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IFERROR(__xludf.DUMMYFUNCTION("IMPORTRANGE(""https://docs.google.com/spreadsheets/d/1SX6NBoVAgQJ6U1MVXOaj8PK2l7WJ3RER9xtqwdhxkhw/edit?usp=sharing"",""สระแก้ว!I520"")"),0)</f>
        <v>0</v>
      </c>
      <c r="J625" s="189">
        <f ca="1">IFERROR(__xludf.DUMMYFUNCTION("IMPORTRANGE(""https://docs.google.com/spreadsheets/d/1SX6NBoVAgQJ6U1MVXOaj8PK2l7WJ3RER9xtqwdhxkhw/edit?usp=sharing"",""สระแก้ว!J520"")"),0)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IFERROR(__xludf.DUMMYFUNCTION("IMPORTRANGE(""https://docs.google.com/spreadsheets/d/1SX6NBoVAgQJ6U1MVXOaj8PK2l7WJ3RER9xtqwdhxkhw/edit?usp=sharing"",""สระแก้ว!I521"")"),0)</f>
        <v>0</v>
      </c>
      <c r="J626" s="189">
        <f ca="1">IFERROR(__xludf.DUMMYFUNCTION("IMPORTRANGE(""https://docs.google.com/spreadsheets/d/1SX6NBoVAgQJ6U1MVXOaj8PK2l7WJ3RER9xtqwdhxkhw/edit?usp=sharing"",""สระแก้ว!J521"")"),0)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2">
        <f ca="1">IFERROR(__xludf.DUMMYFUNCTION("IMPORTRANGE(""https://docs.google.com/spreadsheets/d/1SX6NBoVAgQJ6U1MVXOaj8PK2l7WJ3RER9xtqwdhxkhw/edit?usp=sharing"",""สระแก้ว!J523"")"),6816979.45)</f>
        <v>6816979.4500000002</v>
      </c>
      <c r="K628" s="343">
        <f t="shared" ref="K628:K635" ca="1" si="129">IF(I628&gt;0,J628*100/I628,0)</f>
        <v>82.804038674031332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IFERROR(__xludf.DUMMYFUNCTION("IMPORTRANGE(""https://docs.google.com/spreadsheets/d/1SX6NBoVAgQJ6U1MVXOaj8PK2l7WJ3RER9xtqwdhxkhw/edit?usp=sharing"",""สระแก้ว!I524"")"),586)</f>
        <v>586</v>
      </c>
      <c r="J629" s="342">
        <f ca="1">IFERROR(__xludf.DUMMYFUNCTION("IMPORTRANGE(""https://docs.google.com/spreadsheets/d/1SX6NBoVAgQJ6U1MVXOaj8PK2l7WJ3RER9xtqwdhxkhw/edit?usp=sharing"",""สระแก้ว!J524"")"),422)</f>
        <v>422</v>
      </c>
      <c r="K629" s="343">
        <f t="shared" ca="1" si="129"/>
        <v>72.0136518771331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2">
        <f ca="1">IFERROR(__xludf.DUMMYFUNCTION("IMPORTRANGE(""https://docs.google.com/spreadsheets/d/1SX6NBoVAgQJ6U1MVXOaj8PK2l7WJ3RER9xtqwdhxkhw/edit?usp=sharing"",""สระแก้ว!J525"")"),1761804.75)</f>
        <v>1761804.75</v>
      </c>
      <c r="K630" s="343">
        <f t="shared" ca="1" si="129"/>
        <v>32.630411985010959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IFERROR(__xludf.DUMMYFUNCTION("IMPORTRANGE(""https://docs.google.com/spreadsheets/d/1SX6NBoVAgQJ6U1MVXOaj8PK2l7WJ3RER9xtqwdhxkhw/edit?usp=sharing"",""สระแก้ว!I526"")"),242)</f>
        <v>242</v>
      </c>
      <c r="J631" s="342">
        <f ca="1">IFERROR(__xludf.DUMMYFUNCTION("IMPORTRANGE(""https://docs.google.com/spreadsheets/d/1SX6NBoVAgQJ6U1MVXOaj8PK2l7WJ3RER9xtqwdhxkhw/edit?usp=sharing"",""สระแก้ว!J526"")"),207)</f>
        <v>207</v>
      </c>
      <c r="K631" s="343">
        <f t="shared" ca="1" si="129"/>
        <v>85.537190082644628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IFERROR(__xludf.DUMMYFUNCTION("IMPORTRANGE(""https://docs.google.com/spreadsheets/d/1SX6NBoVAgQJ6U1MVXOaj8PK2l7WJ3RER9xtqwdhxkhw/edit?usp=sharing"",""สระแก้ว!I527"")"),0)</f>
        <v>0</v>
      </c>
      <c r="J632" s="342">
        <f ca="1">IFERROR(__xludf.DUMMYFUNCTION("IMPORTRANGE(""https://docs.google.com/spreadsheets/d/1SX6NBoVAgQJ6U1MVXOaj8PK2l7WJ3RER9xtqwdhxkhw/edit?usp=sharing"",""สระแก้ว!J527"")"),39240.73)</f>
        <v>39240.730000000003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IFERROR(__xludf.DUMMYFUNCTION("IMPORTRANGE(""https://docs.google.com/spreadsheets/d/1SX6NBoVAgQJ6U1MVXOaj8PK2l7WJ3RER9xtqwdhxkhw/edit?usp=sharing"",""สระแก้ว!I528"")"),0)</f>
        <v>0</v>
      </c>
      <c r="J633" s="342">
        <f ca="1">IFERROR(__xludf.DUMMYFUNCTION("IMPORTRANGE(""https://docs.google.com/spreadsheets/d/1SX6NBoVAgQJ6U1MVXOaj8PK2l7WJ3RER9xtqwdhxkhw/edit?usp=sharing"",""สระแก้ว!J528"")"),4)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IFERROR(__xludf.DUMMYFUNCTION("IMPORTRANGE(""https://docs.google.com/spreadsheets/d/1SX6NBoVAgQJ6U1MVXOaj8PK2l7WJ3RER9xtqwdhxkhw/edit?usp=sharing"",""สระแก้ว!I529"")"),10000000)</f>
        <v>10000000</v>
      </c>
      <c r="J634" s="342">
        <f ca="1">IFERROR(__xludf.DUMMYFUNCTION("IMPORTRANGE(""https://docs.google.com/spreadsheets/d/1SX6NBoVAgQJ6U1MVXOaj8PK2l7WJ3RER9xtqwdhxkhw/edit?usp=sharing"",""สระแก้ว!J529"")"),5240000)</f>
        <v>5240000</v>
      </c>
      <c r="K634" s="343">
        <f t="shared" ca="1" si="129"/>
        <v>52.4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IFERROR(__xludf.DUMMYFUNCTION("IMPORTRANGE(""https://docs.google.com/spreadsheets/d/1SX6NBoVAgQJ6U1MVXOaj8PK2l7WJ3RER9xtqwdhxkhw/edit?usp=sharing"",""สระแก้ว!I530"")"),250)</f>
        <v>250</v>
      </c>
      <c r="J635" s="504">
        <f ca="1">IFERROR(__xludf.DUMMYFUNCTION("IMPORTRANGE(""https://docs.google.com/spreadsheets/d/1SX6NBoVAgQJ6U1MVXOaj8PK2l7WJ3RER9xtqwdhxkhw/edit?usp=sharing"",""สระแก้ว!J530"")"),129)</f>
        <v>129</v>
      </c>
      <c r="K635" s="486">
        <f t="shared" ca="1" si="129"/>
        <v>51.6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IFERROR(__xludf.DUMMYFUNCTION("IMPORTRANGE(""https://docs.google.com/spreadsheets/d/1SX6NBoVAgQJ6U1MVXOaj8PK2l7WJ3RER9xtqwdhxkhw/edit#gid=346597447"",""สระแก้ว!J541"")"),0)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IFERROR(__xludf.DUMMYFUNCTION("IMPORTRANGE(""https://docs.google.com/spreadsheets/d/1SX6NBoVAgQJ6U1MVXOaj8PK2l7WJ3RER9xtqwdhxkhw/edit#gid=346597447"",""สระแก้ว!J542"")"),0)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IFERROR(__xludf.DUMMYFUNCTION("IMPORTRANGE(""https://docs.google.com/spreadsheets/d/1SX6NBoVAgQJ6U1MVXOaj8PK2l7WJ3RER9xtqwdhxkhw/edit#gid=346597447"",""สระแก้ว!I543"")"),0)</f>
        <v>0</v>
      </c>
      <c r="J648" s="536">
        <f ca="1">IFERROR(__xludf.DUMMYFUNCTION("IMPORTRANGE(""https://docs.google.com/spreadsheets/d/1SX6NBoVAgQJ6U1MVXOaj8PK2l7WJ3RER9xtqwdhxkhw/edit#gid=346597447"",""สระแก้ว!J543"")"),0)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IFERROR(__xludf.DUMMYFUNCTION("IMPORTRANGE(""https://docs.google.com/spreadsheets/d/1SX6NBoVAgQJ6U1MVXOaj8PK2l7WJ3RER9xtqwdhxkhw/edit#gid=346597447"",""สระแก้ว!L543"")"),0)</f>
        <v>0</v>
      </c>
      <c r="M648" s="521"/>
      <c r="N648" s="538">
        <f ca="1">IFERROR(__xludf.DUMMYFUNCTION("IMPORTRANGE(""https://docs.google.com/spreadsheets/d/1SX6NBoVAgQJ6U1MVXOaj8PK2l7WJ3RER9xtqwdhxkhw/edit#gid=346597447"",""สระแก้ว!M543"")"),0)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IFERROR(__xludf.DUMMYFUNCTION("IMPORTRANGE(""https://docs.google.com/spreadsheets/d/1SX6NBoVAgQJ6U1MVXOaj8PK2l7WJ3RER9xtqwdhxkhw/edit#gid=346597447"",""สระแก้ว!I544"")"),0)</f>
        <v>0</v>
      </c>
      <c r="J649" s="536">
        <f ca="1">IFERROR(__xludf.DUMMYFUNCTION("IMPORTRANGE(""https://docs.google.com/spreadsheets/d/1SX6NBoVAgQJ6U1MVXOaj8PK2l7WJ3RER9xtqwdhxkhw/edit#gid=346597447"",""สระแก้ว!J544"")"),0)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IFERROR(__xludf.DUMMYFUNCTION("IMPORTRANGE(""https://docs.google.com/spreadsheets/d/1SX6NBoVAgQJ6U1MVXOaj8PK2l7WJ3RER9xtqwdhxkhw/edit#gid=346597447"",""สระแก้ว!L544"")"),0)</f>
        <v>0</v>
      </c>
      <c r="M649" s="521"/>
      <c r="N649" s="538">
        <f ca="1">IFERROR(__xludf.DUMMYFUNCTION("IMPORTRANGE(""https://docs.google.com/spreadsheets/d/1SX6NBoVAgQJ6U1MVXOaj8PK2l7WJ3RER9xtqwdhxkhw/edit#gid=346597447"",""สระแก้ว!M544"")"),0)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IFERROR(__xludf.DUMMYFUNCTION("IMPORTRANGE(""https://docs.google.com/spreadsheets/d/1SX6NBoVAgQJ6U1MVXOaj8PK2l7WJ3RER9xtqwdhxkhw/edit#gid=346597447"",""สระแก้ว!I545"")"),0)</f>
        <v>0</v>
      </c>
      <c r="J650" s="536">
        <f ca="1">IFERROR(__xludf.DUMMYFUNCTION("IMPORTRANGE(""https://docs.google.com/spreadsheets/d/1SX6NBoVAgQJ6U1MVXOaj8PK2l7WJ3RER9xtqwdhxkhw/edit#gid=346597447"",""สระแก้ว!J545"")"),0)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IFERROR(__xludf.DUMMYFUNCTION("IMPORTRANGE(""https://docs.google.com/spreadsheets/d/1SX6NBoVAgQJ6U1MVXOaj8PK2l7WJ3RER9xtqwdhxkhw/edit#gid=346597447"",""สระแก้ว!L545"")"),0)</f>
        <v>0</v>
      </c>
      <c r="M650" s="521"/>
      <c r="N650" s="538">
        <f ca="1">IFERROR(__xludf.DUMMYFUNCTION("IMPORTRANGE(""https://docs.google.com/spreadsheets/d/1SX6NBoVAgQJ6U1MVXOaj8PK2l7WJ3RER9xtqwdhxkhw/edit#gid=346597447"",""สระแก้ว!M545"")"),0)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IFERROR(__xludf.DUMMYFUNCTION("IMPORTRANGE(""https://docs.google.com/spreadsheets/d/1SX6NBoVAgQJ6U1MVXOaj8PK2l7WJ3RER9xtqwdhxkhw/edit#gid=346597447"",""สระแก้ว!I546"")"),0)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IFERROR(__xludf.DUMMYFUNCTION("IMPORTRANGE(""https://docs.google.com/spreadsheets/d/1SX6NBoVAgQJ6U1MVXOaj8PK2l7WJ3RER9xtqwdhxkhw/edit#gid=346597447"",""สระแก้ว!L546"")"),0)</f>
        <v>0</v>
      </c>
      <c r="M651" s="521"/>
      <c r="N651" s="538">
        <f ca="1">IFERROR(__xludf.DUMMYFUNCTION("IMPORTRANGE(""https://docs.google.com/spreadsheets/d/1SX6NBoVAgQJ6U1MVXOaj8PK2l7WJ3RER9xtqwdhxkhw/edit#gid=346597447"",""สระแก้ว!M546"")"),0)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IFERROR(__xludf.DUMMYFUNCTION("IMPORTRANGE(""https://docs.google.com/spreadsheets/d/1SX6NBoVAgQJ6U1MVXOaj8PK2l7WJ3RER9xtqwdhxkhw/edit#gid=346597447"",""สระแก้ว!J547"")"),0)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IFERROR(__xludf.DUMMYFUNCTION("IMPORTRANGE(""https://docs.google.com/spreadsheets/d/1SX6NBoVAgQJ6U1MVXOaj8PK2l7WJ3RER9xtqwdhxkhw/edit#gid=346597447"",""สระแก้ว!J548"")"),0)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IFERROR(__xludf.DUMMYFUNCTION("IMPORTRANGE(""https://docs.google.com/spreadsheets/d/1SX6NBoVAgQJ6U1MVXOaj8PK2l7WJ3RER9xtqwdhxkhw/edit#gid=346597447"",""สระแก้ว!J550"")"),0)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IFERROR(__xludf.DUMMYFUNCTION("IMPORTRANGE(""https://docs.google.com/spreadsheets/d/1SX6NBoVAgQJ6U1MVXOaj8PK2l7WJ3RER9xtqwdhxkhw/edit#gid=346597447"",""สระแก้ว!J551"")"),0)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IFERROR(__xludf.DUMMYFUNCTION("IMPORTRANGE(""https://docs.google.com/spreadsheets/d/1SX6NBoVAgQJ6U1MVXOaj8PK2l7WJ3RER9xtqwdhxkhw/edit#gid=346597447"",""สระแก้ว!J552"")"),0)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IFERROR(__xludf.DUMMYFUNCTION("IMPORTRANGE(""https://docs.google.com/spreadsheets/d/1SX6NBoVAgQJ6U1MVXOaj8PK2l7WJ3RER9xtqwdhxkhw/edit#gid=346597447"",""สระแก้ว!J553"")"),0)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IFERROR(__xludf.DUMMYFUNCTION("IMPORTRANGE(""https://docs.google.com/spreadsheets/d/1SX6NBoVAgQJ6U1MVXOaj8PK2l7WJ3RER9xtqwdhxkhw/edit#gid=346597447"",""สระแก้ว!J554"")"),0)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IFERROR(__xludf.DUMMYFUNCTION("IMPORTRANGE(""https://docs.google.com/spreadsheets/d/1SX6NBoVAgQJ6U1MVXOaj8PK2l7WJ3RER9xtqwdhxkhw/edit#gid=346597447"",""สระแก้ว!J555"")"),0)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IFERROR(__xludf.DUMMYFUNCTION("IMPORTRANGE(""https://docs.google.com/spreadsheets/d/1SX6NBoVAgQJ6U1MVXOaj8PK2l7WJ3RER9xtqwdhxkhw/edit#gid=346597447"",""สระแก้ว!J556"")"),0)</f>
        <v>0</v>
      </c>
      <c r="K661" s="537"/>
      <c r="L661" s="522">
        <f ca="1">IFERROR(__xludf.DUMMYFUNCTION("IMPORTRANGE(""https://docs.google.com/spreadsheets/d/1SX6NBoVAgQJ6U1MVXOaj8PK2l7WJ3RER9xtqwdhxkhw/edit#gid=346597447"",""สระแก้ว!L556"")"),0)</f>
        <v>0</v>
      </c>
      <c r="M661" s="521"/>
      <c r="N661" s="538">
        <f ca="1">IFERROR(__xludf.DUMMYFUNCTION("IMPORTRANGE(""https://docs.google.com/spreadsheets/d/1SX6NBoVAgQJ6U1MVXOaj8PK2l7WJ3RER9xtqwdhxkhw/edit#gid=346597447"",""สระแก้ว!M556"")"),0)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IFERROR(__xludf.DUMMYFUNCTION("IMPORTRANGE(""https://docs.google.com/spreadsheets/d/1SX6NBoVAgQJ6U1MVXOaj8PK2l7WJ3RER9xtqwdhxkhw/edit#gid=346597447"",""สระแก้ว!J557"")"),0)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IFERROR(__xludf.DUMMYFUNCTION("IMPORTRANGE(""https://docs.google.com/spreadsheets/d/1SX6NBoVAgQJ6U1MVXOaj8PK2l7WJ3RER9xtqwdhxkhw/edit#gid=346597447"",""สระแก้ว!I558"")"),0)</f>
        <v>0</v>
      </c>
      <c r="J663" s="536">
        <f ca="1">IFERROR(__xludf.DUMMYFUNCTION("IMPORTRANGE(""https://docs.google.com/spreadsheets/d/1SX6NBoVAgQJ6U1MVXOaj8PK2l7WJ3RER9xtqwdhxkhw/edit#gid=346597447"",""สระแก้ว!J558"")"),0)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IFERROR(__xludf.DUMMYFUNCTION("IMPORTRANGE(""https://docs.google.com/spreadsheets/d/1SX6NBoVAgQJ6U1MVXOaj8PK2l7WJ3RER9xtqwdhxkhw/edit#gid=346597447"",""สระแก้ว!I560"")"),0)</f>
        <v>0</v>
      </c>
      <c r="J665" s="536">
        <f ca="1">IFERROR(__xludf.DUMMYFUNCTION("IMPORTRANGE(""https://docs.google.com/spreadsheets/d/1SX6NBoVAgQJ6U1MVXOaj8PK2l7WJ3RER9xtqwdhxkhw/edit#gid=346597447"",""สระแก้ว!J560"")"),0)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IFERROR(__xludf.DUMMYFUNCTION("IMPORTRANGE(""https://docs.google.com/spreadsheets/d/1SX6NBoVAgQJ6U1MVXOaj8PK2l7WJ3RER9xtqwdhxkhw/edit#gid=346597447"",""สระแก้ว!L560"")"),0)</f>
        <v>0</v>
      </c>
      <c r="M665" s="521"/>
      <c r="N665" s="538">
        <f ca="1">IFERROR(__xludf.DUMMYFUNCTION("IMPORTRANGE(""https://docs.google.com/spreadsheets/d/1SX6NBoVAgQJ6U1MVXOaj8PK2l7WJ3RER9xtqwdhxkhw/edit#gid=346597447"",""สระแก้ว!M560"")"),0)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IFERROR(__xludf.DUMMYFUNCTION("IMPORTRANGE(""https://docs.google.com/spreadsheets/d/1SX6NBoVAgQJ6U1MVXOaj8PK2l7WJ3RER9xtqwdhxkhw/edit#gid=346597447"",""สระแก้ว!J561"")"),0)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IFERROR(__xludf.DUMMYFUNCTION("IMPORTRANGE(""https://docs.google.com/spreadsheets/d/1SX6NBoVAgQJ6U1MVXOaj8PK2l7WJ3RER9xtqwdhxkhw/edit#gid=346597447"",""สระแก้ว!J562"")"),0)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IFERROR(__xludf.DUMMYFUNCTION("IMPORTRANGE(""https://docs.google.com/spreadsheets/d/1SX6NBoVAgQJ6U1MVXOaj8PK2l7WJ3RER9xtqwdhxkhw/edit#gid=346597447"",""สระแก้ว!I563"")"),0)</f>
        <v>0</v>
      </c>
      <c r="J668" s="536">
        <f ca="1">IFERROR(__xludf.DUMMYFUNCTION("IMPORTRANGE(""https://docs.google.com/spreadsheets/d/1SX6NBoVAgQJ6U1MVXOaj8PK2l7WJ3RER9xtqwdhxkhw/edit#gid=346597447"",""สระแก้ว!J563"")"),0)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IFERROR(__xludf.DUMMYFUNCTION("IMPORTRANGE(""https://docs.google.com/spreadsheets/d/1SX6NBoVAgQJ6U1MVXOaj8PK2l7WJ3RER9xtqwdhxkhw/edit#gid=346597447"",""สระแก้ว!L563"")"),0)</f>
        <v>0</v>
      </c>
      <c r="M668" s="521"/>
      <c r="N668" s="538">
        <f ca="1">IFERROR(__xludf.DUMMYFUNCTION("IMPORTRANGE(""https://docs.google.com/spreadsheets/d/1SX6NBoVAgQJ6U1MVXOaj8PK2l7WJ3RER9xtqwdhxkhw/edit#gid=346597447"",""สระแก้ว!M563"")"),0)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IFERROR(__xludf.DUMMYFUNCTION("IMPORTRANGE(""https://docs.google.com/spreadsheets/d/1SX6NBoVAgQJ6U1MVXOaj8PK2l7WJ3RER9xtqwdhxkhw/edit#gid=346597447"",""สระแก้ว!J564"")"),0)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IFERROR(__xludf.DUMMYFUNCTION("IMPORTRANGE(""https://docs.google.com/spreadsheets/d/1SX6NBoVAgQJ6U1MVXOaj8PK2l7WJ3RER9xtqwdhxkhw/edit#gid=346597447"",""สระแก้ว!J565"")"),0)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IFERROR(__xludf.DUMMYFUNCTION("IMPORTRANGE(""https://docs.google.com/spreadsheets/d/1SX6NBoVAgQJ6U1MVXOaj8PK2l7WJ3RER9xtqwdhxkhw/edit#gid=346597447"",""สระแก้ว!I566"")"),0)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IFERROR(__xludf.DUMMYFUNCTION("IMPORTRANGE(""https://docs.google.com/spreadsheets/d/1SX6NBoVAgQJ6U1MVXOaj8PK2l7WJ3RER9xtqwdhxkhw/edit#gid=346597447"",""สระแก้ว!L566"")"),0)</f>
        <v>0</v>
      </c>
      <c r="M671" s="521"/>
      <c r="N671" s="538">
        <f ca="1">IFERROR(__xludf.DUMMYFUNCTION("IMPORTRANGE(""https://docs.google.com/spreadsheets/d/1SX6NBoVAgQJ6U1MVXOaj8PK2l7WJ3RER9xtqwdhxkhw/edit#gid=346597447"",""สระแก้ว!M566"")"),0)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IFERROR(__xludf.DUMMYFUNCTION("IMPORTRANGE(""https://docs.google.com/spreadsheets/d/1SX6NBoVAgQJ6U1MVXOaj8PK2l7WJ3RER9xtqwdhxkhw/edit#gid=346597447"",""สระแก้ว!J567"")"),0)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IFERROR(__xludf.DUMMYFUNCTION("IMPORTRANGE(""https://docs.google.com/spreadsheets/d/1SX6NBoVAgQJ6U1MVXOaj8PK2l7WJ3RER9xtqwdhxkhw/edit#gid=346597447"",""สระแก้ว!J568"")"),0)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IFERROR(__xludf.DUMMYFUNCTION("IMPORTRANGE(""https://docs.google.com/spreadsheets/d/1SX6NBoVAgQJ6U1MVXOaj8PK2l7WJ3RER9xtqwdhxkhw/edit#gid=346597447"",""สระแก้ว!J569"")"),0)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IFERROR(__xludf.DUMMYFUNCTION("IMPORTRANGE(""https://docs.google.com/spreadsheets/d/1SX6NBoVAgQJ6U1MVXOaj8PK2l7WJ3RER9xtqwdhxkhw/edit#gid=346597447"",""สระแก้ว!J570"")"),0)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IFERROR(__xludf.DUMMYFUNCTION("IMPORTRANGE(""https://docs.google.com/spreadsheets/d/1SX6NBoVAgQJ6U1MVXOaj8PK2l7WJ3RER9xtqwdhxkhw/edit#gid=346597447"",""สระแก้ว!J571"")"),0)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IFERROR(__xludf.DUMMYFUNCTION("IMPORTRANGE(""https://docs.google.com/spreadsheets/d/1SX6NBoVAgQJ6U1MVXOaj8PK2l7WJ3RER9xtqwdhxkhw/edit#gid=346597447"",""สระแก้ว!J572"")"),0)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294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4165534</v>
      </c>
      <c r="M8" s="23">
        <f t="shared" ca="1" si="0"/>
        <v>2416720</v>
      </c>
      <c r="N8" s="23">
        <f t="shared" ca="1" si="0"/>
        <v>2935260.45</v>
      </c>
      <c r="O8" s="22">
        <f t="shared" ref="O8:O16" ca="1" si="1">IF(L8&gt;0,N8*100/L8,0)</f>
        <v>70.465406115998576</v>
      </c>
      <c r="P8" s="22">
        <f t="shared" ref="P8:P16" ca="1" si="2">IF(M8&gt;0,N8*100/M8,0)</f>
        <v>121.4563726869476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4165534</v>
      </c>
      <c r="M10" s="30">
        <f t="shared" ca="1" si="4"/>
        <v>2416720</v>
      </c>
      <c r="N10" s="30">
        <f t="shared" ca="1" si="4"/>
        <v>2935260.45</v>
      </c>
      <c r="O10" s="29">
        <f t="shared" ca="1" si="1"/>
        <v>70.465406115998576</v>
      </c>
      <c r="P10" s="29">
        <f t="shared" ca="1" si="2"/>
        <v>121.4563726869476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4041134</v>
      </c>
      <c r="M12" s="38">
        <f t="shared" ca="1" si="6"/>
        <v>2292320</v>
      </c>
      <c r="N12" s="38">
        <f t="shared" ca="1" si="6"/>
        <v>2810860.45</v>
      </c>
      <c r="O12" s="38">
        <f t="shared" ca="1" si="1"/>
        <v>69.556229761250179</v>
      </c>
      <c r="P12" s="38">
        <f t="shared" ca="1" si="2"/>
        <v>122.62077066029175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1863300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2177834</v>
      </c>
      <c r="M14" s="38">
        <f t="shared" si="8"/>
        <v>0</v>
      </c>
      <c r="N14" s="38">
        <f t="shared" ca="1" si="8"/>
        <v>856719.67999999993</v>
      </c>
      <c r="O14" s="38">
        <f t="shared" ca="1" si="1"/>
        <v>39.338153412978215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2843720</v>
      </c>
      <c r="M18" s="23">
        <f t="shared" ca="1" si="11"/>
        <v>2416720</v>
      </c>
      <c r="N18" s="23">
        <f t="shared" ca="1" si="11"/>
        <v>2078540.77</v>
      </c>
      <c r="O18" s="22">
        <f t="shared" ref="O18:O20" ca="1" si="12">IF(L18&gt;0,N18*100/L18,0)</f>
        <v>73.092314644198439</v>
      </c>
      <c r="P18" s="22">
        <f t="shared" ref="P18:P26" ca="1" si="13">IF(M18&gt;0,N18*100/M18,0)</f>
        <v>86.006685507630181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2843720</v>
      </c>
      <c r="M20" s="30">
        <f t="shared" ca="1" si="15"/>
        <v>2416720</v>
      </c>
      <c r="N20" s="30">
        <f t="shared" ca="1" si="15"/>
        <v>2078540.77</v>
      </c>
      <c r="O20" s="29">
        <f t="shared" ca="1" si="12"/>
        <v>73.092314644198439</v>
      </c>
      <c r="P20" s="29">
        <f t="shared" ca="1" si="13"/>
        <v>86.006685507630181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2719320</v>
      </c>
      <c r="M22" s="41">
        <f t="shared" ca="1" si="18"/>
        <v>2292320</v>
      </c>
      <c r="N22" s="38">
        <f t="shared" ca="1" si="18"/>
        <v>1954140.77</v>
      </c>
      <c r="O22" s="38">
        <f t="shared" ca="1" si="17"/>
        <v>71.861376005766147</v>
      </c>
      <c r="P22" s="38">
        <f t="shared" ca="1" si="13"/>
        <v>85.247294007817402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1863300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856020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1321814</v>
      </c>
      <c r="M28" s="23">
        <f t="shared" si="23"/>
        <v>0</v>
      </c>
      <c r="N28" s="23">
        <f t="shared" ca="1" si="23"/>
        <v>856719.67999999993</v>
      </c>
      <c r="O28" s="22">
        <f t="shared" ref="O28:O30" ca="1" si="24">IF(L28&gt;0,N28*100/L28,0)</f>
        <v>64.81393600007263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1321814</v>
      </c>
      <c r="M30" s="30">
        <f t="shared" si="27"/>
        <v>0</v>
      </c>
      <c r="N30" s="30">
        <f t="shared" ca="1" si="27"/>
        <v>856719.67999999993</v>
      </c>
      <c r="O30" s="29">
        <f t="shared" ca="1" si="24"/>
        <v>64.81393600007263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1321814</v>
      </c>
      <c r="M32" s="38">
        <f t="shared" si="30"/>
        <v>0</v>
      </c>
      <c r="N32" s="38">
        <f t="shared" ca="1" si="30"/>
        <v>856719.67999999993</v>
      </c>
      <c r="O32" s="38">
        <f t="shared" ca="1" si="29"/>
        <v>64.81393600007263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1321814</v>
      </c>
      <c r="M34" s="38">
        <f t="shared" si="32"/>
        <v>0</v>
      </c>
      <c r="N34" s="38">
        <f t="shared" ca="1" si="32"/>
        <v>856719.67999999993</v>
      </c>
      <c r="O34" s="38">
        <f t="shared" ca="1" si="29"/>
        <v>64.81393600007263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2843720</v>
      </c>
      <c r="M37" s="54">
        <f t="shared" ca="1" si="33"/>
        <v>2416720</v>
      </c>
      <c r="N37" s="54">
        <f t="shared" ca="1" si="33"/>
        <v>2078540.77</v>
      </c>
      <c r="O37" s="55">
        <f t="shared" ca="1" si="29"/>
        <v>73.092314644198439</v>
      </c>
      <c r="P37" s="55">
        <f t="shared" ca="1" si="25"/>
        <v>86.006685507630181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640100</v>
      </c>
      <c r="M41" s="78">
        <f t="shared" ca="1" si="34"/>
        <v>587400</v>
      </c>
      <c r="N41" s="78">
        <f t="shared" ca="1" si="34"/>
        <v>562326.13</v>
      </c>
      <c r="O41" s="77">
        <f t="shared" ref="O41:O43" ca="1" si="35">IF(L41&gt;0,N41*100/L41,0)</f>
        <v>87.849731291985634</v>
      </c>
      <c r="P41" s="77">
        <f t="shared" ref="P41:P43" ca="1" si="36">IF(M41&gt;0,N41*100/M41,0)</f>
        <v>95.731380660537965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640100</v>
      </c>
      <c r="M43" s="78">
        <f t="shared" ca="1" si="38"/>
        <v>587400</v>
      </c>
      <c r="N43" s="78">
        <f t="shared" ca="1" si="38"/>
        <v>562326.13</v>
      </c>
      <c r="O43" s="77">
        <f t="shared" ca="1" si="35"/>
        <v>87.849731291985634</v>
      </c>
      <c r="P43" s="77">
        <f t="shared" ca="1" si="36"/>
        <v>95.731380660537965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640100</v>
      </c>
      <c r="M45" s="49">
        <f ca="1">IFERROR(__xludf.DUMMYFUNCTION("IMPORTRANGE(""https://docs.google.com/spreadsheets/d/1Yj_ptqi66GCucihVvJfMjLAmec39IyEx_6qawtMGysU/edit?usp=sharing"",""สบก!Q76"")"),587400)</f>
        <v>587400</v>
      </c>
      <c r="N45" s="49">
        <f ca="1">IFERROR(__xludf.DUMMYFUNCTION("IMPORTRANGE(""https://docs.google.com/spreadsheets/d/1Yj_ptqi66GCucihVvJfMjLAmec39IyEx_6qawtMGysU/edit?usp=sharing"",""สบก!R76"")"),562326.13)</f>
        <v>562326.13</v>
      </c>
      <c r="O45" s="38">
        <f ca="1">IF(L45&gt;0,N45*100/L45,0)</f>
        <v>87.849731291985634</v>
      </c>
      <c r="P45" s="38">
        <f ca="1">IF(M45&gt;0,N45*100/M45,0)</f>
        <v>95.731380660537965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IFERROR(__xludf.DUMMYFUNCTION("IMPORTRANGE(""https://docs.google.com/spreadsheets/d/1Yj_ptqi66GCucihVvJfMjLAmec39IyEx_6qawtMGysU/edit?usp=sharing"",""สบก!M76"")"),640100)</f>
        <v>640100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358330</v>
      </c>
      <c r="N53" s="121">
        <f t="shared" ca="1" si="39"/>
        <v>351906</v>
      </c>
      <c r="O53" s="120">
        <f t="shared" ref="O53:O55" ca="1" si="40">IF(L53&gt;0,N53*100/L53,0)</f>
        <v>78.201333333333338</v>
      </c>
      <c r="P53" s="120">
        <f t="shared" ref="P53:P55" ca="1" si="41">IF(M53&gt;0,N53*100/M53,0)</f>
        <v>98.207239137108246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358330</v>
      </c>
      <c r="N55" s="121">
        <f t="shared" ca="1" si="43"/>
        <v>351906</v>
      </c>
      <c r="O55" s="120">
        <f t="shared" ca="1" si="40"/>
        <v>78.201333333333338</v>
      </c>
      <c r="P55" s="120">
        <f t="shared" ca="1" si="41"/>
        <v>98.207239137108246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IFERROR(__xludf.DUMMYFUNCTION("IMPORTRANGE(""https://docs.google.com/spreadsheets/d/1Yj_ptqi66GCucihVvJfMjLAmec39IyEx_6qawtMGysU/edit?usp=sharing"",""สบก!Z76"")"),358330)</f>
        <v>358330</v>
      </c>
      <c r="N57" s="49">
        <f ca="1">IFERROR(__xludf.DUMMYFUNCTION("IMPORTRANGE(""https://docs.google.com/spreadsheets/d/1Yj_ptqi66GCucihVvJfMjLAmec39IyEx_6qawtMGysU/edit?usp=sharing"",""สบก!AA76"")"),351906)</f>
        <v>351906</v>
      </c>
      <c r="O57" s="38">
        <f ca="1">IF(L57&gt;0,N57*100/L57,0)</f>
        <v>78.201333333333338</v>
      </c>
      <c r="P57" s="38">
        <f ca="1">IF(M57&gt;0,N57*100/M57,0)</f>
        <v>98.207239137108246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IFERROR(__xludf.DUMMYFUNCTION("IMPORTRANGE(""https://docs.google.com/spreadsheets/d/1Yj_ptqi66GCucihVvJfMjLAmec39IyEx_6qawtMGysU/edit?usp=sharing"",""สบก!AI76"")"),0)</f>
        <v>0</v>
      </c>
      <c r="N70" s="169">
        <f ca="1">IFERROR(__xludf.DUMMYFUNCTION("IMPORTRANGE(""https://docs.google.com/spreadsheets/d/1Yj_ptqi66GCucihVvJfMjLAmec39IyEx_6qawtMGysU/edit?usp=sharing"",""สบก!AJ76"")"),0)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IFERROR(__xludf.DUMMYFUNCTION("IMPORTRANGE(""https://docs.google.com/spreadsheets/d/1Yj_ptqi66GCucihVvJfMjLAmec39IyEx_6qawtMGysU/edit?usp=sharing"",""สบก!AE76"")"),0)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IFERROR(__xludf.DUMMYFUNCTION("IMPORTRANGE(""https://docs.google.com/spreadsheets/d/1Yj_ptqi66GCucihVvJfMjLAmec39IyEx_6qawtMGysU/edit?usp=sharing"",""สบก!AF76"")"),0)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IFERROR(__xludf.DUMMYFUNCTION("IMPORTRANGE(""https://docs.google.com/spreadsheets/d/1SX6NBoVAgQJ6U1MVXOaj8PK2l7WJ3RER9xtqwdhxkhw/edit?usp=sharing"",""สระบุรี!I20"")"),0)</f>
        <v>0</v>
      </c>
      <c r="J80" s="201">
        <f ca="1">IFERROR(__xludf.DUMMYFUNCTION("IMPORTRANGE(""https://docs.google.com/spreadsheets/d/1SX6NBoVAgQJ6U1MVXOaj8PK2l7WJ3RER9xtqwdhxkhw/edit?usp=sharing"",""สระบุรี!J20"")"),0)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IFERROR(__xludf.DUMMYFUNCTION("IMPORTRANGE(""https://docs.google.com/spreadsheets/d/1SX6NBoVAgQJ6U1MVXOaj8PK2l7WJ3RER9xtqwdhxkhw/edit?usp=sharing"",""สระบุรี!I21"")"),0)</f>
        <v>0</v>
      </c>
      <c r="J81" s="201">
        <f ca="1">IFERROR(__xludf.DUMMYFUNCTION("IMPORTRANGE(""https://docs.google.com/spreadsheets/d/1SX6NBoVAgQJ6U1MVXOaj8PK2l7WJ3RER9xtqwdhxkhw/edit?usp=sharing"",""สระบุรี!J21"")"),0)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IFERROR(__xludf.DUMMYFUNCTION("IMPORTRANGE(""https://docs.google.com/spreadsheets/d/1SX6NBoVAgQJ6U1MVXOaj8PK2l7WJ3RER9xtqwdhxkhw/edit?usp=sharing"",""สระบุรี!I22"")"),0)</f>
        <v>0</v>
      </c>
      <c r="J82" s="204">
        <f ca="1">IFERROR(__xludf.DUMMYFUNCTION("IMPORTRANGE(""https://docs.google.com/spreadsheets/d/1SX6NBoVAgQJ6U1MVXOaj8PK2l7WJ3RER9xtqwdhxkhw/edit?usp=sharing"",""สระบุรี!J22"")"),0)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IFERROR(__xludf.DUMMYFUNCTION("IMPORTRANGE(""https://docs.google.com/spreadsheets/d/1SX6NBoVAgQJ6U1MVXOaj8PK2l7WJ3RER9xtqwdhxkhw/edit?usp=sharing"",""สระบุรี!I23"")"),0)</f>
        <v>0</v>
      </c>
      <c r="J83" s="204">
        <f ca="1">IFERROR(__xludf.DUMMYFUNCTION("IMPORTRANGE(""https://docs.google.com/spreadsheets/d/1SX6NBoVAgQJ6U1MVXOaj8PK2l7WJ3RER9xtqwdhxkhw/edit?usp=sharing"",""สระบุรี!J23"")"),0)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IFERROR(__xludf.DUMMYFUNCTION("IMPORTRANGE(""https://docs.google.com/spreadsheets/d/1SX6NBoVAgQJ6U1MVXOaj8PK2l7WJ3RER9xtqwdhxkhw/edit?usp=sharing"",""สระบุรี!I24"")"),0)</f>
        <v>0</v>
      </c>
      <c r="J84" s="189">
        <f ca="1">IFERROR(__xludf.DUMMYFUNCTION("IMPORTRANGE(""https://docs.google.com/spreadsheets/d/1SX6NBoVAgQJ6U1MVXOaj8PK2l7WJ3RER9xtqwdhxkhw/edit?usp=sharing"",""สระบุรี!J24"")"),0)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IFERROR(__xludf.DUMMYFUNCTION("IMPORTRANGE(""https://docs.google.com/spreadsheets/d/1SX6NBoVAgQJ6U1MVXOaj8PK2l7WJ3RER9xtqwdhxkhw/edit?usp=sharing"",""สระบุรี!I25"")"),0)</f>
        <v>0</v>
      </c>
      <c r="J85" s="189">
        <f ca="1">IFERROR(__xludf.DUMMYFUNCTION("IMPORTRANGE(""https://docs.google.com/spreadsheets/d/1SX6NBoVAgQJ6U1MVXOaj8PK2l7WJ3RER9xtqwdhxkhw/edit?usp=sharing"",""สระบุรี!J25"")"),0)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IFERROR(__xludf.DUMMYFUNCTION("IMPORTRANGE(""https://docs.google.com/spreadsheets/d/1SX6NBoVAgQJ6U1MVXOaj8PK2l7WJ3RER9xtqwdhxkhw/edit?usp=sharing"",""สระบุรี!I26"")"),0)</f>
        <v>0</v>
      </c>
      <c r="J86" s="204">
        <f ca="1">IFERROR(__xludf.DUMMYFUNCTION("IMPORTRANGE(""https://docs.google.com/spreadsheets/d/1SX6NBoVAgQJ6U1MVXOaj8PK2l7WJ3RER9xtqwdhxkhw/edit?usp=sharing"",""สระบุรี!J26"")"),0)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IFERROR(__xludf.DUMMYFUNCTION("IMPORTRANGE(""https://docs.google.com/spreadsheets/d/1SX6NBoVAgQJ6U1MVXOaj8PK2l7WJ3RER9xtqwdhxkhw/edit?usp=sharing"",""สระบุรี!I27"")"),0)</f>
        <v>0</v>
      </c>
      <c r="J87" s="204">
        <f ca="1">IFERROR(__xludf.DUMMYFUNCTION("IMPORTRANGE(""https://docs.google.com/spreadsheets/d/1SX6NBoVAgQJ6U1MVXOaj8PK2l7WJ3RER9xtqwdhxkhw/edit?usp=sharing"",""สระบุรี!J27"")"),0)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IFERROR(__xludf.DUMMYFUNCTION("IMPORTRANGE(""https://docs.google.com/spreadsheets/d/1SX6NBoVAgQJ6U1MVXOaj8PK2l7WJ3RER9xtqwdhxkhw/edit?usp=sharing"",""สระบุรี!I28"")"),0)</f>
        <v>0</v>
      </c>
      <c r="J88" s="204">
        <f ca="1">IFERROR(__xludf.DUMMYFUNCTION("IMPORTRANGE(""https://docs.google.com/spreadsheets/d/1SX6NBoVAgQJ6U1MVXOaj8PK2l7WJ3RER9xtqwdhxkhw/edit?usp=sharing"",""สระบุรี!J28"")"),0)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186260</v>
      </c>
      <c r="O94" s="151">
        <f t="shared" ref="O94:O96" ca="1" si="53">IF(L94&gt;0,N94*100/L94,0)</f>
        <v>86.834498834498831</v>
      </c>
      <c r="P94" s="151">
        <f t="shared" ref="P94:P96" ca="1" si="54">IF(M94&gt;0,N94*100/M94,0)</f>
        <v>95.785657350029567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186260</v>
      </c>
      <c r="O96" s="156">
        <f t="shared" ca="1" si="53"/>
        <v>86.834498834498831</v>
      </c>
      <c r="P96" s="156">
        <f t="shared" ca="1" si="54"/>
        <v>95.785657350029567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IFERROR(__xludf.DUMMYFUNCTION("IMPORTRANGE(""https://docs.google.com/spreadsheets/d/1Yj_ptqi66GCucihVvJfMjLAmec39IyEx_6qawtMGysU/edit?usp=sharing"",""สบก!AR76"")"),102055)</f>
        <v>102055</v>
      </c>
      <c r="N98" s="169">
        <f ca="1">IFERROR(__xludf.DUMMYFUNCTION("IMPORTRANGE(""https://docs.google.com/spreadsheets/d/1Yj_ptqi66GCucihVvJfMjLAmec39IyEx_6qawtMGysU/edit?usp=sharing"",""สบก!AS76"")"),93860)</f>
        <v>93860</v>
      </c>
      <c r="O98" s="169">
        <f ca="1">IF(L98&gt;0,N98*100/L98,0)</f>
        <v>76.871416871416869</v>
      </c>
      <c r="P98" s="169">
        <f ca="1">IF(M98&gt;0,N98*100/M98,0)</f>
        <v>91.970016167752689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IFERROR(__xludf.DUMMYFUNCTION("IMPORTRANGE(""https://docs.google.com/spreadsheets/d/1Yj_ptqi66GCucihVvJfMjLAmec39IyEx_6qawtMGysU/edit?usp=sharing"",""สบก!AO76"")"),122100)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IFERROR(__xludf.DUMMYFUNCTION("IMPORTRANGE(""https://docs.google.com/spreadsheets/d/1SX6NBoVAgQJ6U1MVXOaj8PK2l7WJ3RER9xtqwdhxkhw/edit?usp=sharing"",""สระบุรี!I43"")"),1)</f>
        <v>1</v>
      </c>
      <c r="J108" s="204">
        <f ca="1">IFERROR(__xludf.DUMMYFUNCTION("IMPORTRANGE(""https://docs.google.com/spreadsheets/d/1SX6NBoVAgQJ6U1MVXOaj8PK2l7WJ3RER9xtqwdhxkhw/edit?usp=sharing"",""สระบุรี!J43"")"),1)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IFERROR(__xludf.DUMMYFUNCTION("IMPORTRANGE(""https://docs.google.com/spreadsheets/d/1SX6NBoVAgQJ6U1MVXOaj8PK2l7WJ3RER9xtqwdhxkhw/edit?usp=sharing"",""สระบุรี!I44"")"),4)</f>
        <v>4</v>
      </c>
      <c r="J109" s="204">
        <f ca="1">IFERROR(__xludf.DUMMYFUNCTION("IMPORTRANGE(""https://docs.google.com/spreadsheets/d/1SX6NBoVAgQJ6U1MVXOaj8PK2l7WJ3RER9xtqwdhxkhw/edit?usp=sharing"",""สระบุรี!J44"")"),4)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IFERROR(__xludf.DUMMYFUNCTION("IMPORTRANGE(""https://docs.google.com/spreadsheets/d/1SX6NBoVAgQJ6U1MVXOaj8PK2l7WJ3RER9xtqwdhxkhw/edit?usp=sharing"",""สระบุรี!I45"")"),4)</f>
        <v>4</v>
      </c>
      <c r="J110" s="204">
        <f ca="1">IFERROR(__xludf.DUMMYFUNCTION("IMPORTRANGE(""https://docs.google.com/spreadsheets/d/1SX6NBoVAgQJ6U1MVXOaj8PK2l7WJ3RER9xtqwdhxkhw/edit?usp=sharing"",""สระบุรี!J45"")"),4)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IFERROR(__xludf.DUMMYFUNCTION("IMPORTRANGE(""https://docs.google.com/spreadsheets/d/1SX6NBoVAgQJ6U1MVXOaj8PK2l7WJ3RER9xtqwdhxkhw/edit?usp=sharing"",""สระบุรี!I46"")"),4)</f>
        <v>4</v>
      </c>
      <c r="J111" s="204">
        <f ca="1">IFERROR(__xludf.DUMMYFUNCTION("IMPORTRANGE(""https://docs.google.com/spreadsheets/d/1SX6NBoVAgQJ6U1MVXOaj8PK2l7WJ3RER9xtqwdhxkhw/edit?usp=sharing"",""สระบุรี!J46"")"),4)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IFERROR(__xludf.DUMMYFUNCTION("IMPORTRANGE(""https://docs.google.com/spreadsheets/d/1SX6NBoVAgQJ6U1MVXOaj8PK2l7WJ3RER9xtqwdhxkhw/edit?usp=sharing"",""สระบุรี!I47"")"),4)</f>
        <v>4</v>
      </c>
      <c r="J112" s="204">
        <f ca="1">IFERROR(__xludf.DUMMYFUNCTION("IMPORTRANGE(""https://docs.google.com/spreadsheets/d/1SX6NBoVAgQJ6U1MVXOaj8PK2l7WJ3RER9xtqwdhxkhw/edit?usp=sharing"",""สระบุรี!J47"")"),4)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IFERROR(__xludf.DUMMYFUNCTION("IMPORTRANGE(""https://docs.google.com/spreadsheets/d/1SX6NBoVAgQJ6U1MVXOaj8PK2l7WJ3RER9xtqwdhxkhw/edit?usp=sharing"",""สระบุรี!I48"")"),1)</f>
        <v>1</v>
      </c>
      <c r="J113" s="204">
        <f ca="1">IFERROR(__xludf.DUMMYFUNCTION("IMPORTRANGE(""https://docs.google.com/spreadsheets/d/1SX6NBoVAgQJ6U1MVXOaj8PK2l7WJ3RER9xtqwdhxkhw/edit?usp=sharing"",""สระบุรี!J48"")"),1)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48700</v>
      </c>
      <c r="O118" s="151">
        <f t="shared" ref="O118:O120" ca="1" si="59">IF(L118&gt;0,N118*100/L118,0)</f>
        <v>75.050084758822621</v>
      </c>
      <c r="P118" s="151">
        <f t="shared" ref="P118:P120" ca="1" si="60">IF(M118&gt;0,N118*100/M118,0)</f>
        <v>75.050084758822621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48700</v>
      </c>
      <c r="O120" s="156">
        <f t="shared" ca="1" si="59"/>
        <v>75.050084758822621</v>
      </c>
      <c r="P120" s="156">
        <f t="shared" ca="1" si="60"/>
        <v>75.050084758822621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IFERROR(__xludf.DUMMYFUNCTION("IMPORTRANGE(""https://docs.google.com/spreadsheets/d/1Yj_ptqi66GCucihVvJfMjLAmec39IyEx_6qawtMGysU/edit?usp=sharing"",""สบก!BA76"")"),64890)</f>
        <v>64890</v>
      </c>
      <c r="N122" s="169">
        <f ca="1">IFERROR(__xludf.DUMMYFUNCTION("IMPORTRANGE(""https://docs.google.com/spreadsheets/d/1Yj_ptqi66GCucihVvJfMjLAmec39IyEx_6qawtMGysU/edit?usp=sharing"",""สบก!BB76"")"),48700)</f>
        <v>48700</v>
      </c>
      <c r="O122" s="169">
        <f ca="1">IF(L122&gt;0,N122*100/L122,0)</f>
        <v>75.050084758822621</v>
      </c>
      <c r="P122" s="169">
        <f ca="1">IF(M122&gt;0,N122*100/M122,0)</f>
        <v>75.050084758822621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IFERROR(__xludf.DUMMYFUNCTION("IMPORTRANGE(""https://docs.google.com/spreadsheets/d/1Yj_ptqi66GCucihVvJfMjLAmec39IyEx_6qawtMGysU/edit?usp=sharing"",""สบก!AX76"")"),64890)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IFERROR(__xludf.DUMMYFUNCTION("IMPORTRANGE(""https://docs.google.com/spreadsheets/d/1SX6NBoVAgQJ6U1MVXOaj8PK2l7WJ3RER9xtqwdhxkhw/edit?usp=sharing"",""สระบุรี!I62"")"),15)</f>
        <v>15</v>
      </c>
      <c r="J132" s="204">
        <f ca="1">IFERROR(__xludf.DUMMYFUNCTION("IMPORTRANGE(""https://docs.google.com/spreadsheets/d/1SX6NBoVAgQJ6U1MVXOaj8PK2l7WJ3RER9xtqwdhxkhw/edit?usp=sharing"",""สระบุรี!J62"")"),15)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IFERROR(__xludf.DUMMYFUNCTION("IMPORTRANGE(""https://docs.google.com/spreadsheets/d/1SX6NBoVAgQJ6U1MVXOaj8PK2l7WJ3RER9xtqwdhxkhw/edit?usp=sharing"",""สระบุรี!I63"")"),15)</f>
        <v>15</v>
      </c>
      <c r="J133" s="204">
        <f ca="1">IFERROR(__xludf.DUMMYFUNCTION("IMPORTRANGE(""https://docs.google.com/spreadsheets/d/1SX6NBoVAgQJ6U1MVXOaj8PK2l7WJ3RER9xtqwdhxkhw/edit?usp=sharing"",""สระบุรี!J63"")"),15)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IFERROR(__xludf.DUMMYFUNCTION("IMPORTRANGE(""https://docs.google.com/spreadsheets/d/1SX6NBoVAgQJ6U1MVXOaj8PK2l7WJ3RER9xtqwdhxkhw/edit?usp=sharing"",""สระบุรี!I68"")"),15)</f>
        <v>15</v>
      </c>
      <c r="J138" s="268">
        <f ca="1">IFERROR(__xludf.DUMMYFUNCTION("IMPORTRANGE(""https://docs.google.com/spreadsheets/d/1SX6NBoVAgQJ6U1MVXOaj8PK2l7WJ3RER9xtqwdhxkhw/edit?usp=sharing"",""สระบุรี!J68"")"),15)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374200</v>
      </c>
      <c r="M140" s="152">
        <f t="shared" ca="1" si="64"/>
        <v>296825</v>
      </c>
      <c r="N140" s="152">
        <f t="shared" ca="1" si="64"/>
        <v>257648.55</v>
      </c>
      <c r="O140" s="151">
        <f t="shared" ref="O140:O142" ca="1" si="65">IF(L140&gt;0,N140*100/L140,0)</f>
        <v>68.85316675574559</v>
      </c>
      <c r="P140" s="151">
        <f t="shared" ref="P140:P142" ca="1" si="66">IF(M140&gt;0,N140*100/M140,0)</f>
        <v>86.801499199865233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374200</v>
      </c>
      <c r="M142" s="157">
        <f t="shared" ca="1" si="68"/>
        <v>296825</v>
      </c>
      <c r="N142" s="157">
        <f t="shared" ca="1" si="68"/>
        <v>257648.55</v>
      </c>
      <c r="O142" s="156">
        <f t="shared" ca="1" si="65"/>
        <v>68.85316675574559</v>
      </c>
      <c r="P142" s="156">
        <f t="shared" ca="1" si="66"/>
        <v>86.801499199865233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374200</v>
      </c>
      <c r="M144" s="168">
        <f ca="1">IFERROR(__xludf.DUMMYFUNCTION("IMPORTRANGE(""https://docs.google.com/spreadsheets/d/1Yj_ptqi66GCucihVvJfMjLAmec39IyEx_6qawtMGysU/edit?usp=sharing"",""สบก!BJ76"")"),296825)</f>
        <v>296825</v>
      </c>
      <c r="N144" s="169">
        <f ca="1">IFERROR(__xludf.DUMMYFUNCTION("IMPORTRANGE(""https://docs.google.com/spreadsheets/d/1Yj_ptqi66GCucihVvJfMjLAmec39IyEx_6qawtMGysU/edit?usp=sharing"",""สบก!BK76"")"),257648.55)</f>
        <v>257648.55</v>
      </c>
      <c r="O144" s="169">
        <f ca="1">IF(L144&gt;0,N144*100/L144,0)</f>
        <v>68.85316675574559</v>
      </c>
      <c r="P144" s="169">
        <f ca="1">IF(M144&gt;0,N144*100/M144,0)</f>
        <v>86.801499199865233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IFERROR(__xludf.DUMMYFUNCTION("IMPORTRANGE(""https://docs.google.com/spreadsheets/d/1Yj_ptqi66GCucihVvJfMjLAmec39IyEx_6qawtMGysU/edit?usp=sharing"",""สบก!BF76"")"),301600)</f>
        <v>301600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IFERROR(__xludf.DUMMYFUNCTION("IMPORTRANGE(""https://docs.google.com/spreadsheets/d/1Yj_ptqi66GCucihVvJfMjLAmec39IyEx_6qawtMGysU/edit?usp=sharing"",""สบก!BG76"")"),72600)</f>
        <v>72600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IFERROR(__xludf.DUMMYFUNCTION("IMPORTRANGE(""https://docs.google.com/spreadsheets/d/1SX6NBoVAgQJ6U1MVXOaj8PK2l7WJ3RER9xtqwdhxkhw/edit?usp=sharing"",""สระบุรี!I74"")"),4)</f>
        <v>4</v>
      </c>
      <c r="J149" s="276">
        <f ca="1">IFERROR(__xludf.DUMMYFUNCTION("IMPORTRANGE(""https://docs.google.com/spreadsheets/d/1SX6NBoVAgQJ6U1MVXOaj8PK2l7WJ3RER9xtqwdhxkhw/edit?usp=sharing"",""สระบุรี!J74"")"),2)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IFERROR(__xludf.DUMMYFUNCTION("IMPORTRANGE(""https://docs.google.com/spreadsheets/d/1SX6NBoVAgQJ6U1MVXOaj8PK2l7WJ3RER9xtqwdhxkhw/edit?usp=sharing"",""สระบุรี!I83"")"),4)</f>
        <v>4</v>
      </c>
      <c r="J158" s="189">
        <f ca="1">IFERROR(__xludf.DUMMYFUNCTION("IMPORTRANGE(""https://docs.google.com/spreadsheets/d/1SX6NBoVAgQJ6U1MVXOaj8PK2l7WJ3RER9xtqwdhxkhw/edit?usp=sharing"",""สระบุรี!J83"")"),2)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IFERROR(__xludf.DUMMYFUNCTION("IMPORTRANGE(""https://docs.google.com/spreadsheets/d/1SX6NBoVAgQJ6U1MVXOaj8PK2l7WJ3RER9xtqwdhxkhw/edit?usp=sharing"",""สระบุรี!J84"")"),101)</f>
        <v>101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IFERROR(__xludf.DUMMYFUNCTION("IMPORTRANGE(""https://docs.google.com/spreadsheets/d/1SX6NBoVAgQJ6U1MVXOaj8PK2l7WJ3RER9xtqwdhxkhw/edit?usp=sharing"",""สระบุรี!J85"")"),101)</f>
        <v>101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IFERROR(__xludf.DUMMYFUNCTION("IMPORTRANGE(""https://docs.google.com/spreadsheets/d/1SX6NBoVAgQJ6U1MVXOaj8PK2l7WJ3RER9xtqwdhxkhw/edit?usp=sharing"",""สระบุรี!I89"")"),3)</f>
        <v>3</v>
      </c>
      <c r="J164" s="285">
        <f ca="1">IFERROR(__xludf.DUMMYFUNCTION("IMPORTRANGE(""https://docs.google.com/spreadsheets/d/1SX6NBoVAgQJ6U1MVXOaj8PK2l7WJ3RER9xtqwdhxkhw/edit?usp=sharing"",""สระบุรี!J89"")"),3)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IFERROR(__xludf.DUMMYFUNCTION("IMPORTRANGE(""https://docs.google.com/spreadsheets/d/1SX6NBoVAgQJ6U1MVXOaj8PK2l7WJ3RER9xtqwdhxkhw/edit?usp=sharing"",""สระบุรี!I98"")"),3)</f>
        <v>3</v>
      </c>
      <c r="J173" s="189">
        <f ca="1">IFERROR(__xludf.DUMMYFUNCTION("IMPORTRANGE(""https://docs.google.com/spreadsheets/d/1SX6NBoVAgQJ6U1MVXOaj8PK2l7WJ3RER9xtqwdhxkhw/edit?usp=sharing"",""สระบุรี!J98"")"),3)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IFERROR(__xludf.DUMMYFUNCTION("IMPORTRANGE(""https://docs.google.com/spreadsheets/d/1SX6NBoVAgQJ6U1MVXOaj8PK2l7WJ3RER9xtqwdhxkhw/edit?usp=sharing"",""สระบุรี!I101"")"),0)</f>
        <v>0</v>
      </c>
      <c r="J176" s="285">
        <f ca="1">IFERROR(__xludf.DUMMYFUNCTION("IMPORTRANGE(""https://docs.google.com/spreadsheets/d/1SX6NBoVAgQJ6U1MVXOaj8PK2l7WJ3RER9xtqwdhxkhw/edit?usp=sharing"",""สระบุรี!J101"")"),0)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IFERROR(__xludf.DUMMYFUNCTION("IMPORTRANGE(""https://docs.google.com/spreadsheets/d/1SX6NBoVAgQJ6U1MVXOaj8PK2l7WJ3RER9xtqwdhxkhw/edit?usp=sharing"",""สระบุรี!I110"")"),0)</f>
        <v>0</v>
      </c>
      <c r="J185" s="204">
        <f ca="1">IFERROR(__xludf.DUMMYFUNCTION("IMPORTRANGE(""https://docs.google.com/spreadsheets/d/1SX6NBoVAgQJ6U1MVXOaj8PK2l7WJ3RER9xtqwdhxkhw/edit?usp=sharing"",""สระบุรี!J110"")"),0)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IFERROR(__xludf.DUMMYFUNCTION("IMPORTRANGE(""https://docs.google.com/spreadsheets/d/1SX6NBoVAgQJ6U1MVXOaj8PK2l7WJ3RER9xtqwdhxkhw/edit?usp=sharing"",""สระบุรี!I111"")"),0)</f>
        <v>0</v>
      </c>
      <c r="J186" s="204">
        <f ca="1">IFERROR(__xludf.DUMMYFUNCTION("IMPORTRANGE(""https://docs.google.com/spreadsheets/d/1SX6NBoVAgQJ6U1MVXOaj8PK2l7WJ3RER9xtqwdhxkhw/edit?usp=sharing"",""สระบุรี!J111"")"),0)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IFERROR(__xludf.DUMMYFUNCTION("IMPORTRANGE(""https://docs.google.com/spreadsheets/d/1SX6NBoVAgQJ6U1MVXOaj8PK2l7WJ3RER9xtqwdhxkhw/edit?usp=sharing"",""สระบุรี!I114"")"),12800)</f>
        <v>12800</v>
      </c>
      <c r="J189" s="285">
        <f ca="1">IFERROR(__xludf.DUMMYFUNCTION("IMPORTRANGE(""https://docs.google.com/spreadsheets/d/1SX6NBoVAgQJ6U1MVXOaj8PK2l7WJ3RER9xtqwdhxkhw/edit?usp=sharing"",""สระบุรี!J114"")"),0)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IFERROR(__xludf.DUMMYFUNCTION("IMPORTRANGE(""https://docs.google.com/spreadsheets/d/1SX6NBoVAgQJ6U1MVXOaj8PK2l7WJ3RER9xtqwdhxkhw/edit?usp=sharing"",""สระบุรี!I124"")"),12800)</f>
        <v>12800</v>
      </c>
      <c r="J199" s="189">
        <f ca="1">IFERROR(__xludf.DUMMYFUNCTION("IMPORTRANGE(""https://docs.google.com/spreadsheets/d/1SX6NBoVAgQJ6U1MVXOaj8PK2l7WJ3RER9xtqwdhxkhw/edit?usp=sharing"",""สระบุรี!J124"")"),0)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IFERROR(__xludf.DUMMYFUNCTION("IMPORTRANGE(""https://docs.google.com/spreadsheets/d/1SX6NBoVAgQJ6U1MVXOaj8PK2l7WJ3RER9xtqwdhxkhw/edit?usp=sharing"",""สระบุรี!I125"")"),12800)</f>
        <v>12800</v>
      </c>
      <c r="J200" s="189">
        <f ca="1">IFERROR(__xludf.DUMMYFUNCTION("IMPORTRANGE(""https://docs.google.com/spreadsheets/d/1SX6NBoVAgQJ6U1MVXOaj8PK2l7WJ3RER9xtqwdhxkhw/edit?usp=sharing"",""สระบุรี!J125"")"),0)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IFERROR(__xludf.DUMMYFUNCTION("IMPORTRANGE(""https://docs.google.com/spreadsheets/d/1SX6NBoVAgQJ6U1MVXOaj8PK2l7WJ3RER9xtqwdhxkhw/edit?usp=sharing"",""สระบุรี!I126"")"),15)</f>
        <v>15</v>
      </c>
      <c r="J201" s="189">
        <f ca="1">IFERROR(__xludf.DUMMYFUNCTION("IMPORTRANGE(""https://docs.google.com/spreadsheets/d/1SX6NBoVAgQJ6U1MVXOaj8PK2l7WJ3RER9xtqwdhxkhw/edit?usp=sharing"",""สระบุรี!J126"")"),15)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IFERROR(__xludf.DUMMYFUNCTION("IMPORTRANGE(""https://docs.google.com/spreadsheets/d/1SX6NBoVAgQJ6U1MVXOaj8PK2l7WJ3RER9xtqwdhxkhw/edit?usp=sharing"",""สระบุรี!I129"")"),0)</f>
        <v>0</v>
      </c>
      <c r="J204" s="285">
        <f ca="1">IFERROR(__xludf.DUMMYFUNCTION("IMPORTRANGE(""https://docs.google.com/spreadsheets/d/1SX6NBoVAgQJ6U1MVXOaj8PK2l7WJ3RER9xtqwdhxkhw/edit?usp=sharing"",""สระบุรี!J129"")"),0)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IFERROR(__xludf.DUMMYFUNCTION("IMPORTRANGE(""https://docs.google.com/spreadsheets/d/1SX6NBoVAgQJ6U1MVXOaj8PK2l7WJ3RER9xtqwdhxkhw/edit?usp=sharing"",""สระบุรี!I138"")"),0)</f>
        <v>0</v>
      </c>
      <c r="J213" s="204">
        <f ca="1">IFERROR(__xludf.DUMMYFUNCTION("IMPORTRANGE(""https://docs.google.com/spreadsheets/d/1SX6NBoVAgQJ6U1MVXOaj8PK2l7WJ3RER9xtqwdhxkhw/edit?usp=sharing"",""สระบุรี!J138"")"),0)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IFERROR(__xludf.DUMMYFUNCTION("IMPORTRANGE(""https://docs.google.com/spreadsheets/d/1SX6NBoVAgQJ6U1MVXOaj8PK2l7WJ3RER9xtqwdhxkhw/edit?usp=sharing"",""สระบุรี!I140"")"),0)</f>
        <v>0</v>
      </c>
      <c r="J215" s="204">
        <f ca="1">IFERROR(__xludf.DUMMYFUNCTION("IMPORTRANGE(""https://docs.google.com/spreadsheets/d/1SX6NBoVAgQJ6U1MVXOaj8PK2l7WJ3RER9xtqwdhxkhw/edit?usp=sharing"",""สระบุรี!J140"")"),0)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IFERROR(__xludf.DUMMYFUNCTION("IMPORTRANGE(""https://docs.google.com/spreadsheets/d/1SX6NBoVAgQJ6U1MVXOaj8PK2l7WJ3RER9xtqwdhxkhw/edit?usp=sharing"",""สระบุรี!I141"")"),0)</f>
        <v>0</v>
      </c>
      <c r="J216" s="204">
        <f ca="1">IFERROR(__xludf.DUMMYFUNCTION("IMPORTRANGE(""https://docs.google.com/spreadsheets/d/1SX6NBoVAgQJ6U1MVXOaj8PK2l7WJ3RER9xtqwdhxkhw/edit?usp=sharing"",""สระบุรี!J141"")"),0)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IFERROR(__xludf.DUMMYFUNCTION("IMPORTRANGE(""https://docs.google.com/spreadsheets/d/1SX6NBoVAgQJ6U1MVXOaj8PK2l7WJ3RER9xtqwdhxkhw/edit?usp=sharing"",""สระบุรี!I144"")"),14)</f>
        <v>14</v>
      </c>
      <c r="J219" s="268">
        <f ca="1">IFERROR(__xludf.DUMMYFUNCTION("IMPORTRANGE(""https://docs.google.com/spreadsheets/d/1SX6NBoVAgQJ6U1MVXOaj8PK2l7WJ3RER9xtqwdhxkhw/edit?usp=sharing"",""สระบุรี!J144"")"),14)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19105</v>
      </c>
      <c r="O220" s="151">
        <f t="shared" ref="O220:O222" ca="1" si="73">IF(L220&gt;0,N220*100/L220,0)</f>
        <v>94.532409698169218</v>
      </c>
      <c r="P220" s="151">
        <f t="shared" ref="P220:P222" ca="1" si="74">IF(M220&gt;0,N220*100/M220,0)</f>
        <v>94.532409698169218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19105</v>
      </c>
      <c r="O222" s="156">
        <f t="shared" ca="1" si="73"/>
        <v>94.532409698169218</v>
      </c>
      <c r="P222" s="156">
        <f t="shared" ca="1" si="74"/>
        <v>94.532409698169218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IFERROR(__xludf.DUMMYFUNCTION("IMPORTRANGE(""https://docs.google.com/spreadsheets/d/1Yj_ptqi66GCucihVvJfMjLAmec39IyEx_6qawtMGysU/edit?usp=sharing"",""สบก!BS76"")"),20210)</f>
        <v>20210</v>
      </c>
      <c r="N224" s="169">
        <f ca="1">IFERROR(__xludf.DUMMYFUNCTION("IMPORTRANGE(""https://docs.google.com/spreadsheets/d/1Yj_ptqi66GCucihVvJfMjLAmec39IyEx_6qawtMGysU/edit?usp=sharing"",""สบก!BT76"")"),19105)</f>
        <v>19105</v>
      </c>
      <c r="O224" s="169">
        <f ca="1">IF(L224&gt;0,N224*100/L224,0)</f>
        <v>94.532409698169218</v>
      </c>
      <c r="P224" s="169">
        <f ca="1">IF(M224&gt;0,N224*100/M224,0)</f>
        <v>94.532409698169218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IFERROR(__xludf.DUMMYFUNCTION("IMPORTRANGE(""https://docs.google.com/spreadsheets/d/1Yj_ptqi66GCucihVvJfMjLAmec39IyEx_6qawtMGysU/edit?usp=sharing"",""สบก!BP76"")"),20210)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IFERROR(__xludf.DUMMYFUNCTION("IMPORTRANGE(""https://docs.google.com/spreadsheets/d/1SX6NBoVAgQJ6U1MVXOaj8PK2l7WJ3RER9xtqwdhxkhw/edit?usp=sharing"",""สระบุรี!I149"")"),14)</f>
        <v>14</v>
      </c>
      <c r="J229" s="268">
        <f ca="1">IFERROR(__xludf.DUMMYFUNCTION("IMPORTRANGE(""https://docs.google.com/spreadsheets/d/1SX6NBoVAgQJ6U1MVXOaj8PK2l7WJ3RER9xtqwdhxkhw/edit?usp=sharing"",""สระบุรี!J149"")"),14)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IFERROR(__xludf.DUMMYFUNCTION("IMPORTRANGE(""https://docs.google.com/spreadsheets/d/1SX6NBoVAgQJ6U1MVXOaj8PK2l7WJ3RER9xtqwdhxkhw/edit?usp=sharing"",""สระบุรี!I155"")"),14)</f>
        <v>14</v>
      </c>
      <c r="J235" s="189">
        <f ca="1">IFERROR(__xludf.DUMMYFUNCTION("IMPORTRANGE(""https://docs.google.com/spreadsheets/d/1SX6NBoVAgQJ6U1MVXOaj8PK2l7WJ3RER9xtqwdhxkhw/edit?usp=sharing"",""สระบุรี!J155"")"),14)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IFERROR(__xludf.DUMMYFUNCTION("IMPORTRANGE(""https://docs.google.com/spreadsheets/d/1SX6NBoVAgQJ6U1MVXOaj8PK2l7WJ3RER9xtqwdhxkhw/edit?usp=sharing"",""สระบุรี!I158"")"),0)</f>
        <v>0</v>
      </c>
      <c r="J238" s="268">
        <f ca="1">IFERROR(__xludf.DUMMYFUNCTION("IMPORTRANGE(""https://docs.google.com/spreadsheets/d/1SX6NBoVAgQJ6U1MVXOaj8PK2l7WJ3RER9xtqwdhxkhw/edit?usp=sharing"",""สระบุรี!J158"")"),0)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IFERROR(__xludf.DUMMYFUNCTION("IMPORTRANGE(""https://docs.google.com/spreadsheets/d/1SX6NBoVAgQJ6U1MVXOaj8PK2l7WJ3RER9xtqwdhxkhw/edit?usp=sharing"",""สระบุรี!I164"")"),0)</f>
        <v>0</v>
      </c>
      <c r="J244" s="188">
        <f ca="1">IFERROR(__xludf.DUMMYFUNCTION("IMPORTRANGE(""https://docs.google.com/spreadsheets/d/1SX6NBoVAgQJ6U1MVXOaj8PK2l7WJ3RER9xtqwdhxkhw/edit?usp=sharing"",""สระบุรี!J164"")"),0)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IFERROR(__xludf.DUMMYFUNCTION("IMPORTRANGE(""https://docs.google.com/spreadsheets/d/1SX6NBoVAgQJ6U1MVXOaj8PK2l7WJ3RER9xtqwdhxkhw/edit?usp=sharing"",""สระบุรี!I169"")"),20)</f>
        <v>20</v>
      </c>
      <c r="J249" s="317">
        <f ca="1">IFERROR(__xludf.DUMMYFUNCTION("IMPORTRANGE(""https://docs.google.com/spreadsheets/d/1SX6NBoVAgQJ6U1MVXOaj8PK2l7WJ3RER9xtqwdhxkhw/edit?usp=sharing"",""สระบุรี!J169"")"),20)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181400</v>
      </c>
      <c r="M250" s="152">
        <f t="shared" ca="1" si="77"/>
        <v>159400</v>
      </c>
      <c r="N250" s="152">
        <f t="shared" ca="1" si="77"/>
        <v>132876</v>
      </c>
      <c r="O250" s="151">
        <f t="shared" ref="O250:O252" ca="1" si="78">IF(L250&gt;0,N250*100/L250,0)</f>
        <v>73.250275633958097</v>
      </c>
      <c r="P250" s="151">
        <f t="shared" ref="P250:P252" ca="1" si="79">IF(M250&gt;0,N250*100/M250,0)</f>
        <v>83.360100376411538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181400</v>
      </c>
      <c r="M252" s="157">
        <f t="shared" ca="1" si="81"/>
        <v>159400</v>
      </c>
      <c r="N252" s="157">
        <f t="shared" ca="1" si="81"/>
        <v>132876</v>
      </c>
      <c r="O252" s="156">
        <f t="shared" ca="1" si="78"/>
        <v>73.250275633958097</v>
      </c>
      <c r="P252" s="156">
        <f t="shared" ca="1" si="79"/>
        <v>83.360100376411538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181400</v>
      </c>
      <c r="M254" s="168">
        <f ca="1">IFERROR(__xludf.DUMMYFUNCTION("IMPORTRANGE(""https://docs.google.com/spreadsheets/d/1Yj_ptqi66GCucihVvJfMjLAmec39IyEx_6qawtMGysU/edit?usp=sharing"",""สบก!CB76"")"),159400)</f>
        <v>159400</v>
      </c>
      <c r="N254" s="169">
        <f ca="1">IFERROR(__xludf.DUMMYFUNCTION("IMPORTRANGE(""https://docs.google.com/spreadsheets/d/1Yj_ptqi66GCucihVvJfMjLAmec39IyEx_6qawtMGysU/edit?usp=sharing"",""สบก!CC76"")"),132876)</f>
        <v>132876</v>
      </c>
      <c r="O254" s="169">
        <f ca="1">IF(L254&gt;0,N254*100/L254,0)</f>
        <v>73.250275633958097</v>
      </c>
      <c r="P254" s="169">
        <f ca="1">IF(M254&gt;0,N254*100/M254,0)</f>
        <v>83.360100376411538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IFERROR(__xludf.DUMMYFUNCTION("IMPORTRANGE(""https://docs.google.com/spreadsheets/d/1Yj_ptqi66GCucihVvJfMjLAmec39IyEx_6qawtMGysU/edit?usp=sharing"",""สบก!BY76"")"),181400)</f>
        <v>181400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IFERROR(__xludf.DUMMYFUNCTION("IMPORTRANGE(""https://docs.google.com/spreadsheets/d/1SX6NBoVAgQJ6U1MVXOaj8PK2l7WJ3RER9xtqwdhxkhw/edit?usp=sharing"",""สระบุรี!I179"")"),1)</f>
        <v>1</v>
      </c>
      <c r="J264" s="189">
        <f ca="1">IFERROR(__xludf.DUMMYFUNCTION("IMPORTRANGE(""https://docs.google.com/spreadsheets/d/1SX6NBoVAgQJ6U1MVXOaj8PK2l7WJ3RER9xtqwdhxkhw/edit?usp=sharing"",""สระบุรี!J179"")"),1)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IFERROR(__xludf.DUMMYFUNCTION("IMPORTRANGE(""https://docs.google.com/spreadsheets/d/1SX6NBoVAgQJ6U1MVXOaj8PK2l7WJ3RER9xtqwdhxkhw/edit?usp=sharing"",""สระบุรี!I180"")"),20)</f>
        <v>20</v>
      </c>
      <c r="J265" s="189">
        <f ca="1">IFERROR(__xludf.DUMMYFUNCTION("IMPORTRANGE(""https://docs.google.com/spreadsheets/d/1SX6NBoVAgQJ6U1MVXOaj8PK2l7WJ3RER9xtqwdhxkhw/edit?usp=sharing"",""สระบุรี!J180"")"),20)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IFERROR(__xludf.DUMMYFUNCTION("IMPORTRANGE(""https://docs.google.com/spreadsheets/d/1SX6NBoVAgQJ6U1MVXOaj8PK2l7WJ3RER9xtqwdhxkhw/edit?usp=sharing"",""สระบุรี!I181"")"),20)</f>
        <v>20</v>
      </c>
      <c r="J266" s="189">
        <f ca="1">IFERROR(__xludf.DUMMYFUNCTION("IMPORTRANGE(""https://docs.google.com/spreadsheets/d/1SX6NBoVAgQJ6U1MVXOaj8PK2l7WJ3RER9xtqwdhxkhw/edit?usp=sharing"",""สระบุรี!J181"")"),20)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IFERROR(__xludf.DUMMYFUNCTION("IMPORTRANGE(""https://docs.google.com/spreadsheets/d/1SX6NBoVAgQJ6U1MVXOaj8PK2l7WJ3RER9xtqwdhxkhw/edit?usp=sharing"",""สระบุรี!I182"")"),1)</f>
        <v>1</v>
      </c>
      <c r="J267" s="189">
        <f ca="1">IFERROR(__xludf.DUMMYFUNCTION("IMPORTRANGE(""https://docs.google.com/spreadsheets/d/1SX6NBoVAgQJ6U1MVXOaj8PK2l7WJ3RER9xtqwdhxkhw/edit?usp=sharing"",""สระบุรี!J182"")"),1)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IFERROR(__xludf.DUMMYFUNCTION("IMPORTRANGE(""https://docs.google.com/spreadsheets/d/1SX6NBoVAgQJ6U1MVXOaj8PK2l7WJ3RER9xtqwdhxkhw/edit?usp=sharing"",""สระบุรี!I185"")"),15)</f>
        <v>15</v>
      </c>
      <c r="J270" s="317">
        <f ca="1">IFERROR(__xludf.DUMMYFUNCTION("IMPORTRANGE(""https://docs.google.com/spreadsheets/d/1SX6NBoVAgQJ6U1MVXOaj8PK2l7WJ3RER9xtqwdhxkhw/edit?usp=sharing"",""สระบุรี!J185"")"),15)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IFERROR(__xludf.DUMMYFUNCTION("IMPORTRANGE(""https://docs.google.com/spreadsheets/d/1Yj_ptqi66GCucihVvJfMjLAmec39IyEx_6qawtMGysU/edit?usp=sharing"",""สบก!CK76"")"),32250)</f>
        <v>32250</v>
      </c>
      <c r="N275" s="169">
        <f ca="1">IFERROR(__xludf.DUMMYFUNCTION("IMPORTRANGE(""https://docs.google.com/spreadsheets/d/1Yj_ptqi66GCucihVvJfMjLAmec39IyEx_6qawtMGysU/edit?usp=sharing"",""สบก!CL76"")"),32250)</f>
        <v>32250</v>
      </c>
      <c r="O275" s="169">
        <f ca="1">IF(L275&gt;0,N275*100/L275,0)</f>
        <v>58.423913043478258</v>
      </c>
      <c r="P275" s="169">
        <f ca="1">IF(M275&gt;0,N275*100/M275,0)</f>
        <v>100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IFERROR(__xludf.DUMMYFUNCTION("IMPORTRANGE(""https://docs.google.com/spreadsheets/d/1Yj_ptqi66GCucihVvJfMjLAmec39IyEx_6qawtMGysU/edit?usp=sharing"",""สบก!CH76"")"),55200)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IFERROR(__xludf.DUMMYFUNCTION("IMPORTRANGE(""https://docs.google.com/spreadsheets/d/1SX6NBoVAgQJ6U1MVXOaj8PK2l7WJ3RER9xtqwdhxkhw/edit?usp=sharing"",""สระบุรี!I195"")"),15)</f>
        <v>15</v>
      </c>
      <c r="J285" s="189">
        <f ca="1">IFERROR(__xludf.DUMMYFUNCTION("IMPORTRANGE(""https://docs.google.com/spreadsheets/d/1SX6NBoVAgQJ6U1MVXOaj8PK2l7WJ3RER9xtqwdhxkhw/edit?usp=sharing"",""สระบุรี!J195"")"),15)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IFERROR(__xludf.DUMMYFUNCTION("IMPORTRANGE(""https://docs.google.com/spreadsheets/d/1SX6NBoVAgQJ6U1MVXOaj8PK2l7WJ3RER9xtqwdhxkhw/edit?usp=sharing"",""สระบุรี!I199"")"),0)</f>
        <v>0</v>
      </c>
      <c r="J289" s="317">
        <f ca="1">IFERROR(__xludf.DUMMYFUNCTION("IMPORTRANGE(""https://docs.google.com/spreadsheets/d/1SX6NBoVAgQJ6U1MVXOaj8PK2l7WJ3RER9xtqwdhxkhw/edit?usp=sharing"",""สระบุรี!J199"")"),0)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IFERROR(__xludf.DUMMYFUNCTION("IMPORTRANGE(""https://docs.google.com/spreadsheets/d/1Yj_ptqi66GCucihVvJfMjLAmec39IyEx_6qawtMGysU/edit?usp=sharing"",""สบก!CT76"")"),0)</f>
        <v>0</v>
      </c>
      <c r="N294" s="169">
        <f ca="1">IFERROR(__xludf.DUMMYFUNCTION("IMPORTRANGE(""https://docs.google.com/spreadsheets/d/1Yj_ptqi66GCucihVvJfMjLAmec39IyEx_6qawtMGysU/edit?usp=sharing"",""สบก!CU76"")"),0)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IFERROR(__xludf.DUMMYFUNCTION("IMPORTRANGE(""https://docs.google.com/spreadsheets/d/1SX6NBoVAgQJ6U1MVXOaj8PK2l7WJ3RER9xtqwdhxkhw/edit?usp=sharing"",""สระบุรี!I209"")"),0)</f>
        <v>0</v>
      </c>
      <c r="J304" s="204">
        <f ca="1">IFERROR(__xludf.DUMMYFUNCTION("IMPORTRANGE(""https://docs.google.com/spreadsheets/d/1SX6NBoVAgQJ6U1MVXOaj8PK2l7WJ3RER9xtqwdhxkhw/edit?usp=sharing"",""สระบุรี!J209"")"),0)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IFERROR(__xludf.DUMMYFUNCTION("IMPORTRANGE(""https://docs.google.com/spreadsheets/d/1SX6NBoVAgQJ6U1MVXOaj8PK2l7WJ3RER9xtqwdhxkhw/edit?usp=sharing"",""สระบุรี!I211"")"),0)</f>
        <v>0</v>
      </c>
      <c r="J306" s="204">
        <f ca="1">IFERROR(__xludf.DUMMYFUNCTION("IMPORTRANGE(""https://docs.google.com/spreadsheets/d/1SX6NBoVAgQJ6U1MVXOaj8PK2l7WJ3RER9xtqwdhxkhw/edit?usp=sharing"",""สระบุรี!J211"")"),0)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IFERROR(__xludf.DUMMYFUNCTION("IMPORTRANGE(""https://docs.google.com/spreadsheets/d/1SX6NBoVAgQJ6U1MVXOaj8PK2l7WJ3RER9xtqwdhxkhw/edit?usp=sharing"",""สระบุรี!I214"")"),0)</f>
        <v>0</v>
      </c>
      <c r="J309" s="334">
        <f ca="1">IFERROR(__xludf.DUMMYFUNCTION("IMPORTRANGE(""https://docs.google.com/spreadsheets/d/1SX6NBoVAgQJ6U1MVXOaj8PK2l7WJ3RER9xtqwdhxkhw/edit?usp=sharing"",""สระบุรี!J214"")"),0)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IFERROR(__xludf.DUMMYFUNCTION("IMPORTRANGE(""https://docs.google.com/spreadsheets/d/1Yj_ptqi66GCucihVvJfMjLAmec39IyEx_6qawtMGysU/edit?usp=sharing"",""สบก!DC76"")"),0)</f>
        <v>0</v>
      </c>
      <c r="N314" s="169">
        <f ca="1">IFERROR(__xludf.DUMMYFUNCTION("IMPORTRANGE(""https://docs.google.com/spreadsheets/d/1Yj_ptqi66GCucihVvJfMjLAmec39IyEx_6qawtMGysU/edit?usp=sharing"",""สบก!DD76"")"),0)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IFERROR(__xludf.DUMMYFUNCTION("IMPORTRANGE(""https://docs.google.com/spreadsheets/d/1SX6NBoVAgQJ6U1MVXOaj8PK2l7WJ3RER9xtqwdhxkhw/edit?usp=sharing"",""สระบุรี!I224"")"),0)</f>
        <v>0</v>
      </c>
      <c r="J324" s="204">
        <f ca="1">IFERROR(__xludf.DUMMYFUNCTION("IMPORTRANGE(""https://docs.google.com/spreadsheets/d/1SX6NBoVAgQJ6U1MVXOaj8PK2l7WJ3RER9xtqwdhxkhw/edit?usp=sharing"",""สระบุรี!J224"")"),0)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IFERROR(__xludf.DUMMYFUNCTION("IMPORTRANGE(""https://docs.google.com/spreadsheets/d/1SX6NBoVAgQJ6U1MVXOaj8PK2l7WJ3RER9xtqwdhxkhw/edit?usp=sharing"",""สระบุรี!I228"")"),150)</f>
        <v>150</v>
      </c>
      <c r="J328" s="340">
        <f ca="1">IFERROR(__xludf.DUMMYFUNCTION("IMPORTRANGE(""https://docs.google.com/spreadsheets/d/1SX6NBoVAgQJ6U1MVXOaj8PK2l7WJ3RER9xtqwdhxkhw/edit?usp=sharing"",""สระบุรี!J228"")"),141)</f>
        <v>141</v>
      </c>
      <c r="K328" s="318">
        <f ca="1">IF(I328&gt;0,J328*100/I328,0)</f>
        <v>94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843220</v>
      </c>
      <c r="M329" s="152">
        <f t="shared" ca="1" si="98"/>
        <v>702960</v>
      </c>
      <c r="N329" s="152">
        <f t="shared" ca="1" si="98"/>
        <v>487469.09</v>
      </c>
      <c r="O329" s="151">
        <f t="shared" ref="O329:O331" ca="1" si="99">IF(L329&gt;0,N329*100/L329,0)</f>
        <v>57.810427883589099</v>
      </c>
      <c r="P329" s="151">
        <f t="shared" ref="P329:P331" ca="1" si="100">IF(M329&gt;0,N329*100/M329,0)</f>
        <v>69.345210253784003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843220</v>
      </c>
      <c r="M331" s="157">
        <f t="shared" ca="1" si="102"/>
        <v>702960</v>
      </c>
      <c r="N331" s="157">
        <f t="shared" ca="1" si="102"/>
        <v>487469.09</v>
      </c>
      <c r="O331" s="156">
        <f t="shared" ca="1" si="99"/>
        <v>57.810427883589099</v>
      </c>
      <c r="P331" s="156">
        <f t="shared" ca="1" si="100"/>
        <v>69.345210253784003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811220</v>
      </c>
      <c r="M333" s="168">
        <f ca="1">IFERROR(__xludf.DUMMYFUNCTION("IMPORTRANGE(""https://docs.google.com/spreadsheets/d/1Yj_ptqi66GCucihVvJfMjLAmec39IyEx_6qawtMGysU/edit?usp=sharing"",""สบก!DL76"")"),670960)</f>
        <v>670960</v>
      </c>
      <c r="N333" s="169">
        <f ca="1">IFERROR(__xludf.DUMMYFUNCTION("IMPORTRANGE(""https://docs.google.com/spreadsheets/d/1Yj_ptqi66GCucihVvJfMjLAmec39IyEx_6qawtMGysU/edit?usp=sharing"",""สบก!DM76"")"),455469.09)</f>
        <v>455469.09</v>
      </c>
      <c r="O333" s="169">
        <f ca="1">IF(L333&gt;0,N333*100/L333,0)</f>
        <v>56.146185991469636</v>
      </c>
      <c r="P333" s="169">
        <f ca="1">IF(M333&gt;0,N333*100/M333,0)</f>
        <v>67.88319571956599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IFERROR(__xludf.DUMMYFUNCTION("IMPORTRANGE(""https://docs.google.com/spreadsheets/d/1Yj_ptqi66GCucihVvJfMjLAmec39IyEx_6qawtMGysU/edit?usp=sharing"",""สบก!DH76"")"),471600)</f>
        <v>471600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IFERROR(__xludf.DUMMYFUNCTION("IMPORTRANGE(""https://docs.google.com/spreadsheets/d/1Yj_ptqi66GCucihVvJfMjLAmec39IyEx_6qawtMGysU/edit?usp=sharing"",""สบก!DI76"")"),339620)</f>
        <v>339620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IFERROR(__xludf.DUMMYFUNCTION("IMPORTRANGE(""https://docs.google.com/spreadsheets/d/1SX6NBoVAgQJ6U1MVXOaj8PK2l7WJ3RER9xtqwdhxkhw/edit?usp=sharing"",""สระบุรี!I234"")"),0)</f>
        <v>0</v>
      </c>
      <c r="J339" s="188">
        <f ca="1">IFERROR(__xludf.DUMMYFUNCTION("IMPORTRANGE(""https://docs.google.com/spreadsheets/d/1SX6NBoVAgQJ6U1MVXOaj8PK2l7WJ3RER9xtqwdhxkhw/edit?usp=sharing"",""สระบุรี!J234"")"),5)</f>
        <v>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IFERROR(__xludf.DUMMYFUNCTION("IMPORTRANGE(""https://docs.google.com/spreadsheets/d/1SX6NBoVAgQJ6U1MVXOaj8PK2l7WJ3RER9xtqwdhxkhw/edit?usp=sharing"",""สระบุรี!I235"")"),1640)</f>
        <v>1640</v>
      </c>
      <c r="J340" s="188">
        <f ca="1">IFERROR(__xludf.DUMMYFUNCTION("IMPORTRANGE(""https://docs.google.com/spreadsheets/d/1SX6NBoVAgQJ6U1MVXOaj8PK2l7WJ3RER9xtqwdhxkhw/edit?usp=sharing"",""สระบุรี!J235"")"),52.34)</f>
        <v>52.34</v>
      </c>
      <c r="K340" s="343">
        <f t="shared" ca="1" si="103"/>
        <v>3.1914634146341463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IFERROR(__xludf.DUMMYFUNCTION("IMPORTRANGE(""https://docs.google.com/spreadsheets/d/1SX6NBoVAgQJ6U1MVXOaj8PK2l7WJ3RER9xtqwdhxkhw/edit?usp=sharing"",""สระบุรี!I236"")"),150)</f>
        <v>150</v>
      </c>
      <c r="J341" s="188">
        <f ca="1">IFERROR(__xludf.DUMMYFUNCTION("IMPORTRANGE(""https://docs.google.com/spreadsheets/d/1SX6NBoVAgQJ6U1MVXOaj8PK2l7WJ3RER9xtqwdhxkhw/edit?usp=sharing"",""สระบุรี!J236"")"),141)</f>
        <v>141</v>
      </c>
      <c r="K341" s="343">
        <f t="shared" ca="1" si="103"/>
        <v>94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8">
        <f ca="1">IFERROR(__xludf.DUMMYFUNCTION("IMPORTRANGE(""https://docs.google.com/spreadsheets/d/1SX6NBoVAgQJ6U1MVXOaj8PK2l7WJ3RER9xtqwdhxkhw/edit?usp=sharing"",""สระบุรี!J237"")"),2685.13)</f>
        <v>2685.13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IFERROR(__xludf.DUMMYFUNCTION("IMPORTRANGE(""https://docs.google.com/spreadsheets/d/1SX6NBoVAgQJ6U1MVXOaj8PK2l7WJ3RER9xtqwdhxkhw/edit?usp=sharing"",""สระบุรี!I238"")"),150)</f>
        <v>150</v>
      </c>
      <c r="J343" s="188">
        <f ca="1">IFERROR(__xludf.DUMMYFUNCTION("IMPORTRANGE(""https://docs.google.com/spreadsheets/d/1SX6NBoVAgQJ6U1MVXOaj8PK2l7WJ3RER9xtqwdhxkhw/edit?usp=sharing"",""สระบุรี!J238"")"),0)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8">
        <f ca="1">IFERROR(__xludf.DUMMYFUNCTION("IMPORTRANGE(""https://docs.google.com/spreadsheets/d/1SX6NBoVAgQJ6U1MVXOaj8PK2l7WJ3RER9xtqwdhxkhw/edit?usp=sharing"",""สระบุรี!J239"")"),0)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IFERROR(__xludf.DUMMYFUNCTION("IMPORTRANGE(""https://docs.google.com/spreadsheets/d/1SX6NBoVAgQJ6U1MVXOaj8PK2l7WJ3RER9xtqwdhxkhw/edit?usp=sharing"",""สระบุรี!I240"")"),150)</f>
        <v>150</v>
      </c>
      <c r="J345" s="188">
        <f ca="1">IFERROR(__xludf.DUMMYFUNCTION("IMPORTRANGE(""https://docs.google.com/spreadsheets/d/1SX6NBoVAgQJ6U1MVXOaj8PK2l7WJ3RER9xtqwdhxkhw/edit?usp=sharing"",""สระบุรี!J240"")"),141)</f>
        <v>141</v>
      </c>
      <c r="K345" s="343">
        <f t="shared" ca="1" si="103"/>
        <v>94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8">
        <f ca="1">IFERROR(__xludf.DUMMYFUNCTION("IMPORTRANGE(""https://docs.google.com/spreadsheets/d/1SX6NBoVAgQJ6U1MVXOaj8PK2l7WJ3RER9xtqwdhxkhw/edit?usp=sharing"",""สระบุรี!J241"")"),2685.13)</f>
        <v>2685.13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IFERROR(__xludf.DUMMYFUNCTION("IMPORTRANGE(""https://docs.google.com/spreadsheets/d/1SX6NBoVAgQJ6U1MVXOaj8PK2l7WJ3RER9xtqwdhxkhw/edit?usp=sharing"",""สระบุรี!L242"")"),1321814)</f>
        <v>1321814</v>
      </c>
      <c r="M347" s="358"/>
      <c r="N347" s="358">
        <f ca="1">IFERROR(__xludf.DUMMYFUNCTION("IMPORTRANGE(""https://docs.google.com/spreadsheets/d/1SX6NBoVAgQJ6U1MVXOaj8PK2l7WJ3RER9xtqwdhxkhw/edit?usp=sharing"",""สระบุรี!M242"")"),856719.679999999)</f>
        <v>856719.679999999</v>
      </c>
      <c r="O347" s="358">
        <f ca="1">+IF(L347&gt;0,N347*100/L347,0)</f>
        <v>64.813936000072545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IFERROR(__xludf.DUMMYFUNCTION("IMPORTRANGE(""https://docs.google.com/spreadsheets/d/1SX6NBoVAgQJ6U1MVXOaj8PK2l7WJ3RER9xtqwdhxkhw/edit?usp=sharing"",""สระบุรี!M244"")"),93120)</f>
        <v>93120</v>
      </c>
      <c r="O349" s="373">
        <f ca="1">+IF(L349&gt;0,N349*100/L349,0)</f>
        <v>100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IFERROR(__xludf.DUMMYFUNCTION("IMPORTRANGE(""https://docs.google.com/spreadsheets/d/1SX6NBoVAgQJ6U1MVXOaj8PK2l7WJ3RER9xtqwdhxkhw/edit?usp=sharing"",""สระบุรี!M246"")"),0)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IFERROR(__xludf.DUMMYFUNCTION("IMPORTRANGE(""https://docs.google.com/spreadsheets/d/1SX6NBoVAgQJ6U1MVXOaj8PK2l7WJ3RER9xtqwdhxkhw/edit?usp=sharing"",""สระบุรี!M247"")"),93120)</f>
        <v>93120</v>
      </c>
      <c r="O352" s="165">
        <f t="shared" ca="1" si="105"/>
        <v>100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IFERROR(__xludf.DUMMYFUNCTION("IMPORTRANGE(""https://docs.google.com/spreadsheets/d/1SX6NBoVAgQJ6U1MVXOaj8PK2l7WJ3RER9xtqwdhxkhw/edit?usp=sharing"",""สระบุรี!M248"")"),0)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IFERROR(__xludf.DUMMYFUNCTION("IMPORTRANGE(""https://docs.google.com/spreadsheets/d/1SX6NBoVAgQJ6U1MVXOaj8PK2l7WJ3RER9xtqwdhxkhw/edit?usp=sharing"",""สระบุรี!M249"")"),93120)</f>
        <v>93120</v>
      </c>
      <c r="O354" s="169">
        <f t="shared" ca="1" si="105"/>
        <v>100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IFERROR(__xludf.DUMMYFUNCTION("IMPORTRANGE(""https://docs.google.com/spreadsheets/d/1SX6NBoVAgQJ6U1MVXOaj8PK2l7WJ3RER9xtqwdhxkhw/edit?usp=sharing"",""สระบุรี!M250"")"),26360)</f>
        <v>26360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IFERROR(__xludf.DUMMYFUNCTION("IMPORTRANGE(""https://docs.google.com/spreadsheets/d/1SX6NBoVAgQJ6U1MVXOaj8PK2l7WJ3RER9xtqwdhxkhw/edit?usp=sharing"",""สระบุรี!M251"")"),47000)</f>
        <v>47000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IFERROR(__xludf.DUMMYFUNCTION("IMPORTRANGE(""https://docs.google.com/spreadsheets/d/1SX6NBoVAgQJ6U1MVXOaj8PK2l7WJ3RER9xtqwdhxkhw/edit?usp=sharing"",""สระบุรี!M253"")"),19760)</f>
        <v>19760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IFERROR(__xludf.DUMMYFUNCTION("IMPORTRANGE(""https://docs.google.com/spreadsheets/d/1SX6NBoVAgQJ6U1MVXOaj8PK2l7WJ3RER9xtqwdhxkhw/edit?usp=sharing"",""สระบุรี!I263"")"),20)</f>
        <v>20</v>
      </c>
      <c r="J368" s="188">
        <f ca="1">IFERROR(__xludf.DUMMYFUNCTION("IMPORTRANGE(""https://docs.google.com/spreadsheets/d/1SX6NBoVAgQJ6U1MVXOaj8PK2l7WJ3RER9xtqwdhxkhw/edit?usp=sharing"",""สระบุรี!J263"")"),20)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IFERROR(__xludf.DUMMYFUNCTION("IMPORTRANGE(""https://docs.google.com/spreadsheets/d/1SX6NBoVAgQJ6U1MVXOaj8PK2l7WJ3RER9xtqwdhxkhw/edit?usp=sharing"",""สระบุรี!I164"")"),0)</f>
        <v>0</v>
      </c>
      <c r="J369" s="204">
        <f ca="1">IFERROR(__xludf.DUMMYFUNCTION("IMPORTRANGE(""https://docs.google.com/spreadsheets/d/1SX6NBoVAgQJ6U1MVXOaj8PK2l7WJ3RER9xtqwdhxkhw/edit?usp=sharing"",""สระบุรี!J164"")"),0)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IFERROR(__xludf.DUMMYFUNCTION("IMPORTRANGE(""https://docs.google.com/spreadsheets/d/1SX6NBoVAgQJ6U1MVXOaj8PK2l7WJ3RER9xtqwdhxkhw/edit?usp=sharing"",""สระบุรี!I265"")"),20)</f>
        <v>20</v>
      </c>
      <c r="J370" s="204">
        <f ca="1">IFERROR(__xludf.DUMMYFUNCTION("IMPORTRANGE(""https://docs.google.com/spreadsheets/d/1SX6NBoVAgQJ6U1MVXOaj8PK2l7WJ3RER9xtqwdhxkhw/edit?usp=sharing"",""สระบุรี!J265"")"),20)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IFERROR(__xludf.DUMMYFUNCTION("IMPORTRANGE(""https://docs.google.com/spreadsheets/d/1SX6NBoVAgQJ6U1MVXOaj8PK2l7WJ3RER9xtqwdhxkhw/edit?usp=sharing"",""สระบุรี!I164"")"),0)</f>
        <v>0</v>
      </c>
      <c r="J371" s="189">
        <f ca="1">IFERROR(__xludf.DUMMYFUNCTION("IMPORTRANGE(""https://docs.google.com/spreadsheets/d/1SX6NBoVAgQJ6U1MVXOaj8PK2l7WJ3RER9xtqwdhxkhw/edit?usp=sharing"",""สระบุรี!J164"")"),0)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IFERROR(__xludf.DUMMYFUNCTION("IMPORTRANGE(""https://docs.google.com/spreadsheets/d/1SX6NBoVAgQJ6U1MVXOaj8PK2l7WJ3RER9xtqwdhxkhw/edit?usp=sharing"",""สระบุรี!I267"")"),20)</f>
        <v>20</v>
      </c>
      <c r="J372" s="189">
        <f ca="1">IFERROR(__xludf.DUMMYFUNCTION("IMPORTRANGE(""https://docs.google.com/spreadsheets/d/1SX6NBoVAgQJ6U1MVXOaj8PK2l7WJ3RER9xtqwdhxkhw/edit?usp=sharing"",""สระบุรี!J267"")"),20)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IFERROR(__xludf.DUMMYFUNCTION("IMPORTRANGE(""https://docs.google.com/spreadsheets/d/1SX6NBoVAgQJ6U1MVXOaj8PK2l7WJ3RER9xtqwdhxkhw/edit?usp=sharing"",""สระบุรี!I164"")"),0)</f>
        <v>0</v>
      </c>
      <c r="J373" s="204">
        <f ca="1">IFERROR(__xludf.DUMMYFUNCTION("IMPORTRANGE(""https://docs.google.com/spreadsheets/d/1SX6NBoVAgQJ6U1MVXOaj8PK2l7WJ3RER9xtqwdhxkhw/edit?usp=sharing"",""สระบุรี!J164"")"),0)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IFERROR(__xludf.DUMMYFUNCTION("IMPORTRANGE(""https://docs.google.com/spreadsheets/d/1SX6NBoVAgQJ6U1MVXOaj8PK2l7WJ3RER9xtqwdhxkhw/edit?usp=sharing"",""สระบุรี!I164"")"),0)</f>
        <v>0</v>
      </c>
      <c r="J374" s="188">
        <f ca="1">IFERROR(__xludf.DUMMYFUNCTION("IMPORTRANGE(""https://docs.google.com/spreadsheets/d/1SX6NBoVAgQJ6U1MVXOaj8PK2l7WJ3RER9xtqwdhxkhw/edit?usp=sharing"",""สระบุรี!J164"")"),0)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IFERROR(__xludf.DUMMYFUNCTION("IMPORTRANGE(""https://docs.google.com/spreadsheets/d/1SX6NBoVAgQJ6U1MVXOaj8PK2l7WJ3RER9xtqwdhxkhw/edit?usp=sharing"",""สระบุรี!I270"")"),60)</f>
        <v>60</v>
      </c>
      <c r="J375" s="188">
        <f ca="1">IFERROR(__xludf.DUMMYFUNCTION("IMPORTRANGE(""https://docs.google.com/spreadsheets/d/1SX6NBoVAgQJ6U1MVXOaj8PK2l7WJ3RER9xtqwdhxkhw/edit?usp=sharing"",""สระบุรี!J270"")"),0)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IFERROR(__xludf.DUMMYFUNCTION("IMPORTRANGE(""https://docs.google.com/spreadsheets/d/1SX6NBoVAgQJ6U1MVXOaj8PK2l7WJ3RER9xtqwdhxkhw/edit?usp=sharing"",""สระบุรี!I271"")"),0)</f>
        <v>0</v>
      </c>
      <c r="J376" s="189">
        <f ca="1">IFERROR(__xludf.DUMMYFUNCTION("IMPORTRANGE(""https://docs.google.com/spreadsheets/d/1SX6NBoVAgQJ6U1MVXOaj8PK2l7WJ3RER9xtqwdhxkhw/edit?usp=sharing"",""สระบุรี!J271"")"),0)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IFERROR(__xludf.DUMMYFUNCTION("IMPORTRANGE(""https://docs.google.com/spreadsheets/d/1SX6NBoVAgQJ6U1MVXOaj8PK2l7WJ3RER9xtqwdhxkhw/edit?usp=sharing"",""สระบุรี!I272"")"),60)</f>
        <v>60</v>
      </c>
      <c r="J377" s="204">
        <f ca="1">IFERROR(__xludf.DUMMYFUNCTION("IMPORTRANGE(""https://docs.google.com/spreadsheets/d/1SX6NBoVAgQJ6U1MVXOaj8PK2l7WJ3RER9xtqwdhxkhw/edit?usp=sharing"",""สระบุรี!J272"")"),0)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IFERROR(__xludf.DUMMYFUNCTION("IMPORTRANGE(""https://docs.google.com/spreadsheets/d/1SX6NBoVAgQJ6U1MVXOaj8PK2l7WJ3RER9xtqwdhxkhw/edit?usp=sharing"",""สระบุรี!M275"")"),207560)</f>
        <v>207560</v>
      </c>
      <c r="O380" s="373">
        <f ca="1">+IF(L380&gt;0,N380*100/L380,0)</f>
        <v>100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IFERROR(__xludf.DUMMYFUNCTION("IMPORTRANGE(""https://docs.google.com/spreadsheets/d/1SX6NBoVAgQJ6U1MVXOaj8PK2l7WJ3RER9xtqwdhxkhw/edit?usp=sharing"",""สระบุรี!M277"")"),0)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IFERROR(__xludf.DUMMYFUNCTION("IMPORTRANGE(""https://docs.google.com/spreadsheets/d/1SX6NBoVAgQJ6U1MVXOaj8PK2l7WJ3RER9xtqwdhxkhw/edit?usp=sharing"",""สระบุรี!M278"")"),207560)</f>
        <v>207560</v>
      </c>
      <c r="O383" s="165">
        <f t="shared" ca="1" si="109"/>
        <v>100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IFERROR(__xludf.DUMMYFUNCTION("IMPORTRANGE(""https://docs.google.com/spreadsheets/d/1SX6NBoVAgQJ6U1MVXOaj8PK2l7WJ3RER9xtqwdhxkhw/edit?usp=sharing"",""สระบุรี!M279"")"),0)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IFERROR(__xludf.DUMMYFUNCTION("IMPORTRANGE(""https://docs.google.com/spreadsheets/d/1SX6NBoVAgQJ6U1MVXOaj8PK2l7WJ3RER9xtqwdhxkhw/edit?usp=sharing"",""สระบุรี!M280"")"),207560)</f>
        <v>207560</v>
      </c>
      <c r="O385" s="169">
        <f t="shared" ca="1" si="109"/>
        <v>100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IFERROR(__xludf.DUMMYFUNCTION("IMPORTRANGE(""https://docs.google.com/spreadsheets/d/1SX6NBoVAgQJ6U1MVXOaj8PK2l7WJ3RER9xtqwdhxkhw/edit?usp=sharing"",""สระบุรี!M281"")"),59980)</f>
        <v>59980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IFERROR(__xludf.DUMMYFUNCTION("IMPORTRANGE(""https://docs.google.com/spreadsheets/d/1SX6NBoVAgQJ6U1MVXOaj8PK2l7WJ3RER9xtqwdhxkhw/edit?usp=sharing"",""สระบุรี!M282"")"),125000)</f>
        <v>125000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IFERROR(__xludf.DUMMYFUNCTION("IMPORTRANGE(""https://docs.google.com/spreadsheets/d/1SX6NBoVAgQJ6U1MVXOaj8PK2l7WJ3RER9xtqwdhxkhw/edit?usp=sharing"",""สระบุรี!M284"")"),22580)</f>
        <v>22580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IFERROR(__xludf.DUMMYFUNCTION("IMPORTRANGE(""https://docs.google.com/spreadsheets/d/1SX6NBoVAgQJ6U1MVXOaj8PK2l7WJ3RER9xtqwdhxkhw/edit?usp=sharing"",""สระบุรี!I291"")"),20)</f>
        <v>20</v>
      </c>
      <c r="J396" s="198">
        <f ca="1">IFERROR(__xludf.DUMMYFUNCTION("IMPORTRANGE(""https://docs.google.com/spreadsheets/d/1SX6NBoVAgQJ6U1MVXOaj8PK2l7WJ3RER9xtqwdhxkhw/edit?usp=sharing"",""สระบุรี!J291"")"),20)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IFERROR(__xludf.DUMMYFUNCTION("IMPORTRANGE(""https://docs.google.com/spreadsheets/d/1SX6NBoVAgQJ6U1MVXOaj8PK2l7WJ3RER9xtqwdhxkhw/edit?usp=sharing"",""สระบุรี!I292"")"),200)</f>
        <v>200</v>
      </c>
      <c r="J397" s="198">
        <f ca="1">IFERROR(__xludf.DUMMYFUNCTION("IMPORTRANGE(""https://docs.google.com/spreadsheets/d/1SX6NBoVAgQJ6U1MVXOaj8PK2l7WJ3RER9xtqwdhxkhw/edit?usp=sharing"",""สระบุรี!J292"")"),200)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IFERROR(__xludf.DUMMYFUNCTION("IMPORTRANGE(""https://docs.google.com/spreadsheets/d/1SX6NBoVAgQJ6U1MVXOaj8PK2l7WJ3RER9xtqwdhxkhw/edit?usp=sharing"",""สระบุรี!I293"")"),20)</f>
        <v>20</v>
      </c>
      <c r="J398" s="198">
        <f ca="1">IFERROR(__xludf.DUMMYFUNCTION("IMPORTRANGE(""https://docs.google.com/spreadsheets/d/1SX6NBoVAgQJ6U1MVXOaj8PK2l7WJ3RER9xtqwdhxkhw/edit?usp=sharing"",""สระบุรี!J293"")"),20)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IFERROR(__xludf.DUMMYFUNCTION("IMPORTRANGE(""https://docs.google.com/spreadsheets/d/1SX6NBoVAgQJ6U1MVXOaj8PK2l7WJ3RER9xtqwdhxkhw/edit?usp=sharing"",""สระบุรี!M296"")"),78300)</f>
        <v>78300</v>
      </c>
      <c r="O401" s="373">
        <f ca="1">+IF(L401&gt;0,N401*100/L401,0)</f>
        <v>76.824960753532181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IFERROR(__xludf.DUMMYFUNCTION("IMPORTRANGE(""https://docs.google.com/spreadsheets/d/1SX6NBoVAgQJ6U1MVXOaj8PK2l7WJ3RER9xtqwdhxkhw/edit?usp=sharing"",""สระบุรี!M298"")"),0)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IFERROR(__xludf.DUMMYFUNCTION("IMPORTRANGE(""https://docs.google.com/spreadsheets/d/1SX6NBoVAgQJ6U1MVXOaj8PK2l7WJ3RER9xtqwdhxkhw/edit?usp=sharing"",""สระบุรี!M299"")"),78300)</f>
        <v>78300</v>
      </c>
      <c r="O404" s="169">
        <f t="shared" ca="1" si="112"/>
        <v>76.824960753532181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IFERROR(__xludf.DUMMYFUNCTION("IMPORTRANGE(""https://docs.google.com/spreadsheets/d/1SX6NBoVAgQJ6U1MVXOaj8PK2l7WJ3RER9xtqwdhxkhw/edit?usp=sharing"",""สระบุรี!M300"")"),0)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IFERROR(__xludf.DUMMYFUNCTION("IMPORTRANGE(""https://docs.google.com/spreadsheets/d/1SX6NBoVAgQJ6U1MVXOaj8PK2l7WJ3RER9xtqwdhxkhw/edit?usp=sharing"",""สระบุรี!M301"")"),78300)</f>
        <v>78300</v>
      </c>
      <c r="O406" s="169">
        <f t="shared" ca="1" si="112"/>
        <v>76.824960753532181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IFERROR(__xludf.DUMMYFUNCTION("IMPORTRANGE(""https://docs.google.com/spreadsheets/d/1SX6NBoVAgQJ6U1MVXOaj8PK2l7WJ3RER9xtqwdhxkhw/edit?usp=sharing"",""สระบุรี!M302"")"),44168)</f>
        <v>44168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IFERROR(__xludf.DUMMYFUNCTION("IMPORTRANGE(""https://docs.google.com/spreadsheets/d/1SX6NBoVAgQJ6U1MVXOaj8PK2l7WJ3RER9xtqwdhxkhw/edit?usp=sharing"",""สระบุรี!M303"")"),13950)</f>
        <v>13950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IFERROR(__xludf.DUMMYFUNCTION("IMPORTRANGE(""https://docs.google.com/spreadsheets/d/1SX6NBoVAgQJ6U1MVXOaj8PK2l7WJ3RER9xtqwdhxkhw/edit?usp=sharing"",""สระบุรี!M305"")"),20182)</f>
        <v>20182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IFERROR(__xludf.DUMMYFUNCTION("IMPORTRANGE(""https://docs.google.com/spreadsheets/d/1SX6NBoVAgQJ6U1MVXOaj8PK2l7WJ3RER9xtqwdhxkhw/edit?usp=sharing"",""สระบุรี!I311"")"),30)</f>
        <v>30</v>
      </c>
      <c r="J416" s="201">
        <f ca="1">IFERROR(__xludf.DUMMYFUNCTION("IMPORTRANGE(""https://docs.google.com/spreadsheets/d/1SX6NBoVAgQJ6U1MVXOaj8PK2l7WJ3RER9xtqwdhxkhw/edit?usp=sharing"",""สระบุรี!J311"")"),30)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IFERROR(__xludf.DUMMYFUNCTION("IMPORTRANGE(""https://docs.google.com/spreadsheets/d/1SX6NBoVAgQJ6U1MVXOaj8PK2l7WJ3RER9xtqwdhxkhw/edit?usp=sharing"",""สระบุรี!M330"")"),63684)</f>
        <v>63684</v>
      </c>
      <c r="O435" s="412">
        <f t="shared" ref="O435:O439" ca="1" si="114">+IF(L435&gt;0,N435*100/L435,0)</f>
        <v>72.368181818181824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IFERROR(__xludf.DUMMYFUNCTION("IMPORTRANGE(""https://docs.google.com/spreadsheets/d/1SX6NBoVAgQJ6U1MVXOaj8PK2l7WJ3RER9xtqwdhxkhw/edit?usp=sharing"",""สระบุรี!M331"")"),0)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IFERROR(__xludf.DUMMYFUNCTION("IMPORTRANGE(""https://docs.google.com/spreadsheets/d/1SX6NBoVAgQJ6U1MVXOaj8PK2l7WJ3RER9xtqwdhxkhw/edit?usp=sharing"",""สระบุรี!M332"")"),63684)</f>
        <v>63684</v>
      </c>
      <c r="O437" s="169">
        <f t="shared" ca="1" si="114"/>
        <v>72.368181818181824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IFERROR(__xludf.DUMMYFUNCTION("IMPORTRANGE(""https://docs.google.com/spreadsheets/d/1SX6NBoVAgQJ6U1MVXOaj8PK2l7WJ3RER9xtqwdhxkhw/edit?usp=sharing"",""สระบุรี!M333"")"),0)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IFERROR(__xludf.DUMMYFUNCTION("IMPORTRANGE(""https://docs.google.com/spreadsheets/d/1SX6NBoVAgQJ6U1MVXOaj8PK2l7WJ3RER9xtqwdhxkhw/edit?usp=sharing"",""สระบุรี!M334"")"),63684)</f>
        <v>63684</v>
      </c>
      <c r="O439" s="169">
        <f t="shared" ca="1" si="114"/>
        <v>72.368181818181824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IFERROR(__xludf.DUMMYFUNCTION("IMPORTRANGE(""https://docs.google.com/spreadsheets/d/1SX6NBoVAgQJ6U1MVXOaj8PK2l7WJ3RER9xtqwdhxkhw/edit?usp=sharing"",""สระบุรี!M335"")"),36230)</f>
        <v>36230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IFERROR(__xludf.DUMMYFUNCTION("IMPORTRANGE(""https://docs.google.com/spreadsheets/d/1SX6NBoVAgQJ6U1MVXOaj8PK2l7WJ3RER9xtqwdhxkhw/edit?usp=sharing"",""สระบุรี!M338"")"),27454)</f>
        <v>27454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1">
        <f ca="1">IFERROR(__xludf.DUMMYFUNCTION("IMPORTRANGE(""https://docs.google.com/spreadsheets/d/1SX6NBoVAgQJ6U1MVXOaj8PK2l7WJ3RER9xtqwdhxkhw/edit?usp=sharing"",""สระบุรี!J344"")"),15)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IFERROR(__xludf.DUMMYFUNCTION("IMPORTRANGE(""https://docs.google.com/spreadsheets/d/1SX6NBoVAgQJ6U1MVXOaj8PK2l7WJ3RER9xtqwdhxkhw/edit?usp=sharing"",""สระบุรี!I345"")"),15)</f>
        <v>15</v>
      </c>
      <c r="J450" s="189">
        <f ca="1">IFERROR(__xludf.DUMMYFUNCTION("IMPORTRANGE(""https://docs.google.com/spreadsheets/d/1SX6NBoVAgQJ6U1MVXOaj8PK2l7WJ3RER9xtqwdhxkhw/edit?usp=sharing"",""สระบุรี!J345"")"),15)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IFERROR(__xludf.DUMMYFUNCTION("IMPORTRANGE(""https://docs.google.com/spreadsheets/d/1SX6NBoVAgQJ6U1MVXOaj8PK2l7WJ3RER9xtqwdhxkhw/edit?usp=sharing"",""สระบุรี!I346"")"),0)</f>
        <v>0</v>
      </c>
      <c r="J451" s="188">
        <f ca="1">IFERROR(__xludf.DUMMYFUNCTION("IMPORTRANGE(""https://docs.google.com/spreadsheets/d/1SX6NBoVAgQJ6U1MVXOaj8PK2l7WJ3RER9xtqwdhxkhw/edit?usp=sharing"",""สระบุรี!J346"")"),0)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IFERROR(__xludf.DUMMYFUNCTION("IMPORTRANGE(""https://docs.google.com/spreadsheets/d/1SX6NBoVAgQJ6U1MVXOaj8PK2l7WJ3RER9xtqwdhxkhw/edit?usp=sharing"",""สระบุรี!I347"")"),0)</f>
        <v>0</v>
      </c>
      <c r="J452" s="188">
        <f ca="1">IFERROR(__xludf.DUMMYFUNCTION("IMPORTRANGE(""https://docs.google.com/spreadsheets/d/1SX6NBoVAgQJ6U1MVXOaj8PK2l7WJ3RER9xtqwdhxkhw/edit?usp=sharing"",""สระบุรี!J347"")"),0)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IFERROR(__xludf.DUMMYFUNCTION("IMPORTRANGE(""https://docs.google.com/spreadsheets/d/1SX6NBoVAgQJ6U1MVXOaj8PK2l7WJ3RER9xtqwdhxkhw/edit?usp=sharing"",""สระบุรี!J350"")"),4949)</f>
        <v>4949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IFERROR(__xludf.DUMMYFUNCTION("IMPORTRANGE(""https://docs.google.com/spreadsheets/d/1SX6NBoVAgQJ6U1MVXOaj8PK2l7WJ3RER9xtqwdhxkhw/edit?usp=sharing"",""สระบุรี!L350"")"),288044)</f>
        <v>288044</v>
      </c>
      <c r="M455" s="373"/>
      <c r="N455" s="373">
        <f ca="1">IFERROR(__xludf.DUMMYFUNCTION("IMPORTRANGE(""https://docs.google.com/spreadsheets/d/1SX6NBoVAgQJ6U1MVXOaj8PK2l7WJ3RER9xtqwdhxkhw/edit?usp=sharing"",""สระบุรี!M350"")"),106649)</f>
        <v>106649</v>
      </c>
      <c r="O455" s="373">
        <f t="shared" ref="O455:O459" ca="1" si="116">+IF(L455&gt;0,N455*100/L455,0)</f>
        <v>37.02524614295038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IFERROR(__xludf.DUMMYFUNCTION("IMPORTRANGE(""https://docs.google.com/spreadsheets/d/1SX6NBoVAgQJ6U1MVXOaj8PK2l7WJ3RER9xtqwdhxkhw/edit?usp=sharing"",""สระบุรี!M351"")"),0)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IFERROR(__xludf.DUMMYFUNCTION("IMPORTRANGE(""https://docs.google.com/spreadsheets/d/1SX6NBoVAgQJ6U1MVXOaj8PK2l7WJ3RER9xtqwdhxkhw/edit?usp=sharing"",""สระบุรี!L352"")"),288044)</f>
        <v>288044</v>
      </c>
      <c r="M457" s="165"/>
      <c r="N457" s="169">
        <f ca="1">IFERROR(__xludf.DUMMYFUNCTION("IMPORTRANGE(""https://docs.google.com/spreadsheets/d/1SX6NBoVAgQJ6U1MVXOaj8PK2l7WJ3RER9xtqwdhxkhw/edit?usp=sharing"",""สระบุรี!M352"")"),106649)</f>
        <v>106649</v>
      </c>
      <c r="O457" s="169">
        <f t="shared" ca="1" si="116"/>
        <v>37.02524614295038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IFERROR(__xludf.DUMMYFUNCTION("IMPORTRANGE(""https://docs.google.com/spreadsheets/d/1SX6NBoVAgQJ6U1MVXOaj8PK2l7WJ3RER9xtqwdhxkhw/edit?usp=sharing"",""สระบุรี!M353"")"),0)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IFERROR(__xludf.DUMMYFUNCTION("IMPORTRANGE(""https://docs.google.com/spreadsheets/d/1SX6NBoVAgQJ6U1MVXOaj8PK2l7WJ3RER9xtqwdhxkhw/edit?usp=sharing"",""สระบุรี!L354"")"),288044)</f>
        <v>288044</v>
      </c>
      <c r="M459" s="169"/>
      <c r="N459" s="169">
        <f ca="1">IFERROR(__xludf.DUMMYFUNCTION("IMPORTRANGE(""https://docs.google.com/spreadsheets/d/1SX6NBoVAgQJ6U1MVXOaj8PK2l7WJ3RER9xtqwdhxkhw/edit?usp=sharing"",""สระบุรี!M354"")"),106649)</f>
        <v>106649</v>
      </c>
      <c r="O459" s="169">
        <f t="shared" ca="1" si="116"/>
        <v>37.02524614295038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IFERROR(__xludf.DUMMYFUNCTION("IMPORTRANGE(""https://docs.google.com/spreadsheets/d/1SX6NBoVAgQJ6U1MVXOaj8PK2l7WJ3RER9xtqwdhxkhw/edit?usp=sharing"",""สระบุรี!M358"")"),106649)</f>
        <v>106649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IFERROR(__xludf.DUMMYFUNCTION("IMPORTRANGE(""https://docs.google.com/spreadsheets/d/1SX6NBoVAgQJ6U1MVXOaj8PK2l7WJ3RER9xtqwdhxkhw/edit?usp=sharing"",""สระบุรี!I359"")"),4949)</f>
        <v>4949</v>
      </c>
      <c r="J464" s="268">
        <f ca="1">IFERROR(__xludf.DUMMYFUNCTION("IMPORTRANGE(""https://docs.google.com/spreadsheets/d/1SX6NBoVAgQJ6U1MVXOaj8PK2l7WJ3RER9xtqwdhxkhw/edit?usp=sharing"",""สระบุรี!J359"")"),4949)</f>
        <v>4949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IFERROR(__xludf.DUMMYFUNCTION("IMPORTRANGE(""https://docs.google.com/spreadsheets/d/1SX6NBoVAgQJ6U1MVXOaj8PK2l7WJ3RER9xtqwdhxkhw/edit?usp=sharing"",""สระบุรี!J360"")"),4949)</f>
        <v>4949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IFERROR(__xludf.DUMMYFUNCTION("IMPORTRANGE(""https://docs.google.com/spreadsheets/d/1SX6NBoVAgQJ6U1MVXOaj8PK2l7WJ3RER9xtqwdhxkhw/edit?usp=sharing"",""สระบุรี!I362"")"),0)</f>
        <v>0</v>
      </c>
      <c r="J467" s="189">
        <f ca="1">IFERROR(__xludf.DUMMYFUNCTION("IMPORTRANGE(""https://docs.google.com/spreadsheets/d/1SX6NBoVAgQJ6U1MVXOaj8PK2l7WJ3RER9xtqwdhxkhw/edit?usp=sharing"",""สระบุรี!J362"")"),3335)</f>
        <v>3335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IFERROR(__xludf.DUMMYFUNCTION("IMPORTRANGE(""https://docs.google.com/spreadsheets/d/1SX6NBoVAgQJ6U1MVXOaj8PK2l7WJ3RER9xtqwdhxkhw/edit?usp=sharing"",""สระบุรี!I363"")"),0)</f>
        <v>0</v>
      </c>
      <c r="J468" s="189">
        <f ca="1">IFERROR(__xludf.DUMMYFUNCTION("IMPORTRANGE(""https://docs.google.com/spreadsheets/d/1SX6NBoVAgQJ6U1MVXOaj8PK2l7WJ3RER9xtqwdhxkhw/edit?usp=sharing"",""สระบุรี!J363"")"),600)</f>
        <v>600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IFERROR(__xludf.DUMMYFUNCTION("IMPORTRANGE(""https://docs.google.com/spreadsheets/d/1SX6NBoVAgQJ6U1MVXOaj8PK2l7WJ3RER9xtqwdhxkhw/edit?usp=sharing"",""สระบุรี!I364"")"),0)</f>
        <v>0</v>
      </c>
      <c r="J469" s="189">
        <f ca="1">IFERROR(__xludf.DUMMYFUNCTION("IMPORTRANGE(""https://docs.google.com/spreadsheets/d/1SX6NBoVAgQJ6U1MVXOaj8PK2l7WJ3RER9xtqwdhxkhw/edit?usp=sharing"",""สระบุรี!J364"")"),634)</f>
        <v>634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IFERROR(__xludf.DUMMYFUNCTION("IMPORTRANGE(""https://docs.google.com/spreadsheets/d/1SX6NBoVAgQJ6U1MVXOaj8PK2l7WJ3RER9xtqwdhxkhw/edit?usp=sharing"",""สระบุรี!I365"")"),0)</f>
        <v>0</v>
      </c>
      <c r="J470" s="189">
        <f ca="1">IFERROR(__xludf.DUMMYFUNCTION("IMPORTRANGE(""https://docs.google.com/spreadsheets/d/1SX6NBoVAgQJ6U1MVXOaj8PK2l7WJ3RER9xtqwdhxkhw/edit?usp=sharing"",""สระบุรี!J365"")"),123)</f>
        <v>123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IFERROR(__xludf.DUMMYFUNCTION("IMPORTRANGE(""https://docs.google.com/spreadsheets/d/1SX6NBoVAgQJ6U1MVXOaj8PK2l7WJ3RER9xtqwdhxkhw/edit?usp=sharing"",""สระบุรี!I366"")"),0)</f>
        <v>0</v>
      </c>
      <c r="J471" s="189">
        <f ca="1">IFERROR(__xludf.DUMMYFUNCTION("IMPORTRANGE(""https://docs.google.com/spreadsheets/d/1SX6NBoVAgQJ6U1MVXOaj8PK2l7WJ3RER9xtqwdhxkhw/edit?usp=sharing"",""สระบุรี!J366"")"),980)</f>
        <v>980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IFERROR(__xludf.DUMMYFUNCTION("IMPORTRANGE(""https://docs.google.com/spreadsheets/d/1SX6NBoVAgQJ6U1MVXOaj8PK2l7WJ3RER9xtqwdhxkhw/edit?usp=sharing"",""สระบุรี!I367"")"),0)</f>
        <v>0</v>
      </c>
      <c r="J472" s="189">
        <f ca="1">IFERROR(__xludf.DUMMYFUNCTION("IMPORTRANGE(""https://docs.google.com/spreadsheets/d/1SX6NBoVAgQJ6U1MVXOaj8PK2l7WJ3RER9xtqwdhxkhw/edit?usp=sharing"",""สระบุรี!J367"")"),133)</f>
        <v>133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IFERROR(__xludf.DUMMYFUNCTION("IMPORTRANGE(""https://docs.google.com/spreadsheets/d/1SX6NBoVAgQJ6U1MVXOaj8PK2l7WJ3RER9xtqwdhxkhw/edit?usp=sharing"",""สระบุรี!J368"")"),4949)</f>
        <v>4949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IFERROR(__xludf.DUMMYFUNCTION("IMPORTRANGE(""https://docs.google.com/spreadsheets/d/1SX6NBoVAgQJ6U1MVXOaj8PK2l7WJ3RER9xtqwdhxkhw/edit?usp=sharing"",""สระบุรี!J369"")"),856)</f>
        <v>856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IFERROR(__xludf.DUMMYFUNCTION("IMPORTRANGE(""https://docs.google.com/spreadsheets/d/1SX6NBoVAgQJ6U1MVXOaj8PK2l7WJ3RER9xtqwdhxkhw/edit?usp=sharing"",""สระบุรี!I370"")"),0)</f>
        <v>0</v>
      </c>
      <c r="J475" s="189">
        <f ca="1">IFERROR(__xludf.DUMMYFUNCTION("IMPORTRANGE(""https://docs.google.com/spreadsheets/d/1SX6NBoVAgQJ6U1MVXOaj8PK2l7WJ3RER9xtqwdhxkhw/edit?usp=sharing"",""สระบุรี!J370"")"),3351)</f>
        <v>3351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IFERROR(__xludf.DUMMYFUNCTION("IMPORTRANGE(""https://docs.google.com/spreadsheets/d/1SX6NBoVAgQJ6U1MVXOaj8PK2l7WJ3RER9xtqwdhxkhw/edit?usp=sharing"",""สระบุรี!I371"")"),0)</f>
        <v>0</v>
      </c>
      <c r="J476" s="189">
        <f ca="1">IFERROR(__xludf.DUMMYFUNCTION("IMPORTRANGE(""https://docs.google.com/spreadsheets/d/1SX6NBoVAgQJ6U1MVXOaj8PK2l7WJ3RER9xtqwdhxkhw/edit?usp=sharing"",""สระบุรี!J371"")"),605)</f>
        <v>605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IFERROR(__xludf.DUMMYFUNCTION("IMPORTRANGE(""https://docs.google.com/spreadsheets/d/1SX6NBoVAgQJ6U1MVXOaj8PK2l7WJ3RER9xtqwdhxkhw/edit?usp=sharing"",""สระบุรี!I372"")"),0)</f>
        <v>0</v>
      </c>
      <c r="J477" s="189">
        <f ca="1">IFERROR(__xludf.DUMMYFUNCTION("IMPORTRANGE(""https://docs.google.com/spreadsheets/d/1SX6NBoVAgQJ6U1MVXOaj8PK2l7WJ3RER9xtqwdhxkhw/edit?usp=sharing"",""สระบุรี!J372"")"),618)</f>
        <v>618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IFERROR(__xludf.DUMMYFUNCTION("IMPORTRANGE(""https://docs.google.com/spreadsheets/d/1SX6NBoVAgQJ6U1MVXOaj8PK2l7WJ3RER9xtqwdhxkhw/edit?usp=sharing"",""สระบุรี!I373"")"),0)</f>
        <v>0</v>
      </c>
      <c r="J478" s="189">
        <f ca="1">IFERROR(__xludf.DUMMYFUNCTION("IMPORTRANGE(""https://docs.google.com/spreadsheets/d/1SX6NBoVAgQJ6U1MVXOaj8PK2l7WJ3RER9xtqwdhxkhw/edit?usp=sharing"",""สระบุรี!J373"")"),118)</f>
        <v>118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IFERROR(__xludf.DUMMYFUNCTION("IMPORTRANGE(""https://docs.google.com/spreadsheets/d/1SX6NBoVAgQJ6U1MVXOaj8PK2l7WJ3RER9xtqwdhxkhw/edit?usp=sharing"",""สระบุรี!I374"")"),0)</f>
        <v>0</v>
      </c>
      <c r="J479" s="189">
        <f ca="1">IFERROR(__xludf.DUMMYFUNCTION("IMPORTRANGE(""https://docs.google.com/spreadsheets/d/1SX6NBoVAgQJ6U1MVXOaj8PK2l7WJ3RER9xtqwdhxkhw/edit?usp=sharing"",""สระบุรี!J374"")"),980)</f>
        <v>980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IFERROR(__xludf.DUMMYFUNCTION("IMPORTRANGE(""https://docs.google.com/spreadsheets/d/1SX6NBoVAgQJ6U1MVXOaj8PK2l7WJ3RER9xtqwdhxkhw/edit?usp=sharing"",""สระบุรี!I375"")"),0)</f>
        <v>0</v>
      </c>
      <c r="J480" s="189">
        <f ca="1">IFERROR(__xludf.DUMMYFUNCTION("IMPORTRANGE(""https://docs.google.com/spreadsheets/d/1SX6NBoVAgQJ6U1MVXOaj8PK2l7WJ3RER9xtqwdhxkhw/edit?usp=sharing"",""สระบุรี!J375"")"),133)</f>
        <v>133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IFERROR(__xludf.DUMMYFUNCTION("IMPORTRANGE(""https://docs.google.com/spreadsheets/d/1SX6NBoVAgQJ6U1MVXOaj8PK2l7WJ3RER9xtqwdhxkhw/edit?usp=sharing"",""สระบุรี!J376"")"),4949)</f>
        <v>4949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IFERROR(__xludf.DUMMYFUNCTION("IMPORTRANGE(""https://docs.google.com/spreadsheets/d/1SX6NBoVAgQJ6U1MVXOaj8PK2l7WJ3RER9xtqwdhxkhw/edit?usp=sharing"",""สระบุรี!J377"")"),856)</f>
        <v>856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IFERROR(__xludf.DUMMYFUNCTION("IMPORTRANGE(""https://docs.google.com/spreadsheets/d/1SX6NBoVAgQJ6U1MVXOaj8PK2l7WJ3RER9xtqwdhxkhw/edit?usp=sharing"",""สระบุรี!I378"")"),0)</f>
        <v>0</v>
      </c>
      <c r="J483" s="189">
        <f ca="1">IFERROR(__xludf.DUMMYFUNCTION("IMPORTRANGE(""https://docs.google.com/spreadsheets/d/1SX6NBoVAgQJ6U1MVXOaj8PK2l7WJ3RER9xtqwdhxkhw/edit?usp=sharing"",""สระบุรี!J378"")"),3351)</f>
        <v>3351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IFERROR(__xludf.DUMMYFUNCTION("IMPORTRANGE(""https://docs.google.com/spreadsheets/d/1SX6NBoVAgQJ6U1MVXOaj8PK2l7WJ3RER9xtqwdhxkhw/edit?usp=sharing"",""สระบุรี!I379"")"),0)</f>
        <v>0</v>
      </c>
      <c r="J484" s="189">
        <f ca="1">IFERROR(__xludf.DUMMYFUNCTION("IMPORTRANGE(""https://docs.google.com/spreadsheets/d/1SX6NBoVAgQJ6U1MVXOaj8PK2l7WJ3RER9xtqwdhxkhw/edit?usp=sharing"",""สระบุรี!J379"")"),605)</f>
        <v>605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IFERROR(__xludf.DUMMYFUNCTION("IMPORTRANGE(""https://docs.google.com/spreadsheets/d/1SX6NBoVAgQJ6U1MVXOaj8PK2l7WJ3RER9xtqwdhxkhw/edit?usp=sharing"",""สระบุรี!I380"")"),0)</f>
        <v>0</v>
      </c>
      <c r="J485" s="189">
        <f ca="1">IFERROR(__xludf.DUMMYFUNCTION("IMPORTRANGE(""https://docs.google.com/spreadsheets/d/1SX6NBoVAgQJ6U1MVXOaj8PK2l7WJ3RER9xtqwdhxkhw/edit?usp=sharing"",""สระบุรี!J380"")"),618)</f>
        <v>618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IFERROR(__xludf.DUMMYFUNCTION("IMPORTRANGE(""https://docs.google.com/spreadsheets/d/1SX6NBoVAgQJ6U1MVXOaj8PK2l7WJ3RER9xtqwdhxkhw/edit?usp=sharing"",""สระบุรี!I381"")"),0)</f>
        <v>0</v>
      </c>
      <c r="J486" s="189">
        <f ca="1">IFERROR(__xludf.DUMMYFUNCTION("IMPORTRANGE(""https://docs.google.com/spreadsheets/d/1SX6NBoVAgQJ6U1MVXOaj8PK2l7WJ3RER9xtqwdhxkhw/edit?usp=sharing"",""สระบุรี!J381"")"),118)</f>
        <v>118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IFERROR(__xludf.DUMMYFUNCTION("IMPORTRANGE(""https://docs.google.com/spreadsheets/d/1SX6NBoVAgQJ6U1MVXOaj8PK2l7WJ3RER9xtqwdhxkhw/edit?usp=sharing"",""สระบุรี!J382"")"),980)</f>
        <v>980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IFERROR(__xludf.DUMMYFUNCTION("IMPORTRANGE(""https://docs.google.com/spreadsheets/d/1SX6NBoVAgQJ6U1MVXOaj8PK2l7WJ3RER9xtqwdhxkhw/edit?usp=sharing"",""สระบุรี!J383"")"),133)</f>
        <v>133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IFERROR(__xludf.DUMMYFUNCTION("IMPORTRANGE(""https://docs.google.com/spreadsheets/d/1SX6NBoVAgQJ6U1MVXOaj8PK2l7WJ3RER9xtqwdhxkhw/edit?usp=sharing"",""สระบุรี!I384"")"),0)</f>
        <v>0</v>
      </c>
      <c r="J489" s="189">
        <f ca="1">IFERROR(__xludf.DUMMYFUNCTION("IMPORTRANGE(""https://docs.google.com/spreadsheets/d/1SX6NBoVAgQJ6U1MVXOaj8PK2l7WJ3RER9xtqwdhxkhw/edit?usp=sharing"",""สระบุรี!J384"")"),958)</f>
        <v>958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IFERROR(__xludf.DUMMYFUNCTION("IMPORTRANGE(""https://docs.google.com/spreadsheets/d/1SX6NBoVAgQJ6U1MVXOaj8PK2l7WJ3RER9xtqwdhxkhw/edit?usp=sharing"",""สระบุรี!I385"")"),0)</f>
        <v>0</v>
      </c>
      <c r="J490" s="189">
        <f ca="1">IFERROR(__xludf.DUMMYFUNCTION("IMPORTRANGE(""https://docs.google.com/spreadsheets/d/1SX6NBoVAgQJ6U1MVXOaj8PK2l7WJ3RER9xtqwdhxkhw/edit?usp=sharing"",""สระบุรี!J385"")"),130)</f>
        <v>130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IFERROR(__xludf.DUMMYFUNCTION("IMPORTRANGE(""https://docs.google.com/spreadsheets/d/1SX6NBoVAgQJ6U1MVXOaj8PK2l7WJ3RER9xtqwdhxkhw/edit?usp=sharing"",""สระบุรี!I386"")"),0)</f>
        <v>0</v>
      </c>
      <c r="J491" s="189">
        <f ca="1">IFERROR(__xludf.DUMMYFUNCTION("IMPORTRANGE(""https://docs.google.com/spreadsheets/d/1SX6NBoVAgQJ6U1MVXOaj8PK2l7WJ3RER9xtqwdhxkhw/edit?usp=sharing"",""สระบุรี!J386"")"),22)</f>
        <v>22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IFERROR(__xludf.DUMMYFUNCTION("IMPORTRANGE(""https://docs.google.com/spreadsheets/d/1SX6NBoVAgQJ6U1MVXOaj8PK2l7WJ3RER9xtqwdhxkhw/edit?usp=sharing"",""สระบุรี!I387"")"),0)</f>
        <v>0</v>
      </c>
      <c r="J492" s="189">
        <f ca="1">IFERROR(__xludf.DUMMYFUNCTION("IMPORTRANGE(""https://docs.google.com/spreadsheets/d/1SX6NBoVAgQJ6U1MVXOaj8PK2l7WJ3RER9xtqwdhxkhw/edit?usp=sharing"",""สระบุรี!J387"")"),3)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IFERROR(__xludf.DUMMYFUNCTION("IMPORTRANGE(""https://docs.google.com/spreadsheets/d/1SX6NBoVAgQJ6U1MVXOaj8PK2l7WJ3RER9xtqwdhxkhw/edit?usp=sharing"",""สระบุรี!I388"")"),0)</f>
        <v>0</v>
      </c>
      <c r="J493" s="189">
        <f ca="1">IFERROR(__xludf.DUMMYFUNCTION("IMPORTRANGE(""https://docs.google.com/spreadsheets/d/1SX6NBoVAgQJ6U1MVXOaj8PK2l7WJ3RER9xtqwdhxkhw/edit?usp=sharing"",""สระบุรี!J388"")"),0)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202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IFERROR(__xludf.DUMMYFUNCTION("IMPORTRANGE(""https://docs.google.com/spreadsheets/d/1SX6NBoVAgQJ6U1MVXOaj8PK2l7WJ3RER9xtqwdhxkhw/edit?usp=sharing"",""สระบุรี!I395"")"),0)</f>
        <v>0</v>
      </c>
      <c r="J500" s="162">
        <f ca="1">IFERROR(__xludf.DUMMYFUNCTION("IMPORTRANGE(""https://docs.google.com/spreadsheets/d/1SX6NBoVAgQJ6U1MVXOaj8PK2l7WJ3RER9xtqwdhxkhw/edit?usp=sharing"",""สระบุรี!J395"")"),0)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IFERROR(__xludf.DUMMYFUNCTION("IMPORTRANGE(""https://docs.google.com/spreadsheets/d/1SX6NBoVAgQJ6U1MVXOaj8PK2l7WJ3RER9xtqwdhxkhw/edit?usp=sharing"",""สระบุรี!I396"")"),0)</f>
        <v>0</v>
      </c>
      <c r="J501" s="162">
        <f ca="1">IFERROR(__xludf.DUMMYFUNCTION("IMPORTRANGE(""https://docs.google.com/spreadsheets/d/1SX6NBoVAgQJ6U1MVXOaj8PK2l7WJ3RER9xtqwdhxkhw/edit?usp=sharing"",""สระบุรี!J396"")"),0)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IFERROR(__xludf.DUMMYFUNCTION("IMPORTRANGE(""https://docs.google.com/spreadsheets/d/1SX6NBoVAgQJ6U1MVXOaj8PK2l7WJ3RER9xtqwdhxkhw/edit?usp=sharing"",""สระบุรี!I397"")"),0)</f>
        <v>0</v>
      </c>
      <c r="J502" s="189">
        <f ca="1">IFERROR(__xludf.DUMMYFUNCTION("IMPORTRANGE(""https://docs.google.com/spreadsheets/d/1SX6NBoVAgQJ6U1MVXOaj8PK2l7WJ3RER9xtqwdhxkhw/edit?usp=sharing"",""สระบุรี!J397"")"),0)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IFERROR(__xludf.DUMMYFUNCTION("IMPORTRANGE(""https://docs.google.com/spreadsheets/d/1SX6NBoVAgQJ6U1MVXOaj8PK2l7WJ3RER9xtqwdhxkhw/edit?usp=sharing"",""สระบุรี!I398"")"),0)</f>
        <v>0</v>
      </c>
      <c r="J503" s="198">
        <f ca="1">IFERROR(__xludf.DUMMYFUNCTION("IMPORTRANGE(""https://docs.google.com/spreadsheets/d/1SX6NBoVAgQJ6U1MVXOaj8PK2l7WJ3RER9xtqwdhxkhw/edit?usp=sharing"",""สระบุรี!J398"")"),0)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IFERROR(__xludf.DUMMYFUNCTION("IMPORTRANGE(""https://docs.google.com/spreadsheets/d/1SX6NBoVAgQJ6U1MVXOaj8PK2l7WJ3RER9xtqwdhxkhw/edit?usp=sharing"",""สระบุรี!I399"")"),0)</f>
        <v>0</v>
      </c>
      <c r="J504" s="189">
        <f ca="1">IFERROR(__xludf.DUMMYFUNCTION("IMPORTRANGE(""https://docs.google.com/spreadsheets/d/1SX6NBoVAgQJ6U1MVXOaj8PK2l7WJ3RER9xtqwdhxkhw/edit?usp=sharing"",""สระบุรี!J399"")"),0)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IFERROR(__xludf.DUMMYFUNCTION("IMPORTRANGE(""https://docs.google.com/spreadsheets/d/1SX6NBoVAgQJ6U1MVXOaj8PK2l7WJ3RER9xtqwdhxkhw/edit?usp=sharing"",""สระบุรี!I400"")"),0)</f>
        <v>0</v>
      </c>
      <c r="J505" s="198">
        <f ca="1">IFERROR(__xludf.DUMMYFUNCTION("IMPORTRANGE(""https://docs.google.com/spreadsheets/d/1SX6NBoVAgQJ6U1MVXOaj8PK2l7WJ3RER9xtqwdhxkhw/edit?usp=sharing"",""สระบุรี!J400"")"),0)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IFERROR(__xludf.DUMMYFUNCTION("IMPORTRANGE(""https://docs.google.com/spreadsheets/d/1SX6NBoVAgQJ6U1MVXOaj8PK2l7WJ3RER9xtqwdhxkhw/edit?usp=sharing"",""สระบุรี!I401"")"),0)</f>
        <v>0</v>
      </c>
      <c r="J506" s="189">
        <f ca="1">IFERROR(__xludf.DUMMYFUNCTION("IMPORTRANGE(""https://docs.google.com/spreadsheets/d/1SX6NBoVAgQJ6U1MVXOaj8PK2l7WJ3RER9xtqwdhxkhw/edit?usp=sharing"",""สระบุรี!J401"")"),0)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IFERROR(__xludf.DUMMYFUNCTION("IMPORTRANGE(""https://docs.google.com/spreadsheets/d/1SX6NBoVAgQJ6U1MVXOaj8PK2l7WJ3RER9xtqwdhxkhw/edit?usp=sharing"",""สระบุรี!I402"")"),0)</f>
        <v>0</v>
      </c>
      <c r="J507" s="198">
        <f ca="1">IFERROR(__xludf.DUMMYFUNCTION("IMPORTRANGE(""https://docs.google.com/spreadsheets/d/1SX6NBoVAgQJ6U1MVXOaj8PK2l7WJ3RER9xtqwdhxkhw/edit?usp=sharing"",""สระบุรี!J402"")"),0)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IFERROR(__xludf.DUMMYFUNCTION("IMPORTRANGE(""https://docs.google.com/spreadsheets/d/1SX6NBoVAgQJ6U1MVXOaj8PK2l7WJ3RER9xtqwdhxkhw/edit?usp=sharing"",""สระบุรี!I403"")"),0)</f>
        <v>0</v>
      </c>
      <c r="J508" s="162">
        <f ca="1">IFERROR(__xludf.DUMMYFUNCTION("IMPORTRANGE(""https://docs.google.com/spreadsheets/d/1SX6NBoVAgQJ6U1MVXOaj8PK2l7WJ3RER9xtqwdhxkhw/edit?usp=sharing"",""สระบุรี!J403"")"),0)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IFERROR(__xludf.DUMMYFUNCTION("IMPORTRANGE(""https://docs.google.com/spreadsheets/d/1SX6NBoVAgQJ6U1MVXOaj8PK2l7WJ3RER9xtqwdhxkhw/edit?usp=sharing"",""สระบุรี!I404"")"),0)</f>
        <v>0</v>
      </c>
      <c r="J509" s="162">
        <f ca="1">IFERROR(__xludf.DUMMYFUNCTION("IMPORTRANGE(""https://docs.google.com/spreadsheets/d/1SX6NBoVAgQJ6U1MVXOaj8PK2l7WJ3RER9xtqwdhxkhw/edit?usp=sharing"",""สระบุรี!J404"")"),0)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IFERROR(__xludf.DUMMYFUNCTION("IMPORTRANGE(""https://docs.google.com/spreadsheets/d/1SX6NBoVAgQJ6U1MVXOaj8PK2l7WJ3RER9xtqwdhxkhw/edit?usp=sharing"",""สระบุรี!I405"")"),0)</f>
        <v>0</v>
      </c>
      <c r="J510" s="198">
        <f ca="1">IFERROR(__xludf.DUMMYFUNCTION("IMPORTRANGE(""https://docs.google.com/spreadsheets/d/1SX6NBoVAgQJ6U1MVXOaj8PK2l7WJ3RER9xtqwdhxkhw/edit?usp=sharing"",""สระบุรี!J405"")"),0)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IFERROR(__xludf.DUMMYFUNCTION("IMPORTRANGE(""https://docs.google.com/spreadsheets/d/1SX6NBoVAgQJ6U1MVXOaj8PK2l7WJ3RER9xtqwdhxkhw/edit?usp=sharing"",""สระบุรี!I406"")"),0)</f>
        <v>0</v>
      </c>
      <c r="J511" s="198">
        <f ca="1">IFERROR(__xludf.DUMMYFUNCTION("IMPORTRANGE(""https://docs.google.com/spreadsheets/d/1SX6NBoVAgQJ6U1MVXOaj8PK2l7WJ3RER9xtqwdhxkhw/edit?usp=sharing"",""สระบุรี!J406"")"),0)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IFERROR(__xludf.DUMMYFUNCTION("IMPORTRANGE(""https://docs.google.com/spreadsheets/d/1SX6NBoVAgQJ6U1MVXOaj8PK2l7WJ3RER9xtqwdhxkhw/edit?usp=sharing"",""สระบุรี!I407"")"),0)</f>
        <v>0</v>
      </c>
      <c r="J512" s="198">
        <f ca="1">IFERROR(__xludf.DUMMYFUNCTION("IMPORTRANGE(""https://docs.google.com/spreadsheets/d/1SX6NBoVAgQJ6U1MVXOaj8PK2l7WJ3RER9xtqwdhxkhw/edit?usp=sharing"",""สระบุรี!J407"")"),0)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IFERROR(__xludf.DUMMYFUNCTION("IMPORTRANGE(""https://docs.google.com/spreadsheets/d/1SX6NBoVAgQJ6U1MVXOaj8PK2l7WJ3RER9xtqwdhxkhw/edit?usp=sharing"",""สระบุรี!I408"")"),0)</f>
        <v>0</v>
      </c>
      <c r="J513" s="198">
        <f ca="1">IFERROR(__xludf.DUMMYFUNCTION("IMPORTRANGE(""https://docs.google.com/spreadsheets/d/1SX6NBoVAgQJ6U1MVXOaj8PK2l7WJ3RER9xtqwdhxkhw/edit?usp=sharing"",""สระบุรี!J408"")"),0)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IFERROR(__xludf.DUMMYFUNCTION("IMPORTRANGE(""https://docs.google.com/spreadsheets/d/1SX6NBoVAgQJ6U1MVXOaj8PK2l7WJ3RER9xtqwdhxkhw/edit?usp=sharing"",""สระบุรี!I409"")"),0)</f>
        <v>0</v>
      </c>
      <c r="J514" s="198">
        <f ca="1">IFERROR(__xludf.DUMMYFUNCTION("IMPORTRANGE(""https://docs.google.com/spreadsheets/d/1SX6NBoVAgQJ6U1MVXOaj8PK2l7WJ3RER9xtqwdhxkhw/edit?usp=sharing"",""สระบุรี!J409"")"),0)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IFERROR(__xludf.DUMMYFUNCTION("IMPORTRANGE(""https://docs.google.com/spreadsheets/d/1SX6NBoVAgQJ6U1MVXOaj8PK2l7WJ3RER9xtqwdhxkhw/edit?usp=sharing"",""สระบุรี!I410"")"),0)</f>
        <v>0</v>
      </c>
      <c r="J515" s="198">
        <f ca="1">IFERROR(__xludf.DUMMYFUNCTION("IMPORTRANGE(""https://docs.google.com/spreadsheets/d/1SX6NBoVAgQJ6U1MVXOaj8PK2l7WJ3RER9xtqwdhxkhw/edit?usp=sharing"",""สระบุรี!J410"")"),0)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IFERROR(__xludf.DUMMYFUNCTION("IMPORTRANGE(""https://docs.google.com/spreadsheets/d/1SX6NBoVAgQJ6U1MVXOaj8PK2l7WJ3RER9xtqwdhxkhw/edit?usp=sharing"",""สระบุรี!I411"")"),0)</f>
        <v>0</v>
      </c>
      <c r="J516" s="268">
        <f ca="1">IFERROR(__xludf.DUMMYFUNCTION("IMPORTRANGE(""https://docs.google.com/spreadsheets/d/1SX6NBoVAgQJ6U1MVXOaj8PK2l7WJ3RER9xtqwdhxkhw/edit?usp=sharing"",""สระบุรี!J411"")"),0)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IFERROR(__xludf.DUMMYFUNCTION("IMPORTRANGE(""https://docs.google.com/spreadsheets/d/1SX6NBoVAgQJ6U1MVXOaj8PK2l7WJ3RER9xtqwdhxkhw/edit?usp=sharing"",""สระบุรี!I412"")"),0)</f>
        <v>0</v>
      </c>
      <c r="J517" s="285">
        <f ca="1">IFERROR(__xludf.DUMMYFUNCTION("IMPORTRANGE(""https://docs.google.com/spreadsheets/d/1SX6NBoVAgQJ6U1MVXOaj8PK2l7WJ3RER9xtqwdhxkhw/edit?usp=sharing"",""สระบุรี!J412"")"),0)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IFERROR(__xludf.DUMMYFUNCTION("IMPORTRANGE(""https://docs.google.com/spreadsheets/d/1SX6NBoVAgQJ6U1MVXOaj8PK2l7WJ3RER9xtqwdhxkhw/edit?usp=sharing"",""สระบุรี!I413"")"),0)</f>
        <v>0</v>
      </c>
      <c r="J518" s="285">
        <f ca="1">IFERROR(__xludf.DUMMYFUNCTION("IMPORTRANGE(""https://docs.google.com/spreadsheets/d/1SX6NBoVAgQJ6U1MVXOaj8PK2l7WJ3RER9xtqwdhxkhw/edit?usp=sharing"",""สระบุรี!J413"")"),0)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IFERROR(__xludf.DUMMYFUNCTION("IMPORTRANGE(""https://docs.google.com/spreadsheets/d/1SX6NBoVAgQJ6U1MVXOaj8PK2l7WJ3RER9xtqwdhxkhw/edit?usp=sharing"",""สระบุรี!I414"")"),0)</f>
        <v>0</v>
      </c>
      <c r="J519" s="188">
        <f ca="1">IFERROR(__xludf.DUMMYFUNCTION("IMPORTRANGE(""https://docs.google.com/spreadsheets/d/1SX6NBoVAgQJ6U1MVXOaj8PK2l7WJ3RER9xtqwdhxkhw/edit?usp=sharing"",""สระบุรี!J414"")"),0)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IFERROR(__xludf.DUMMYFUNCTION("IMPORTRANGE(""https://docs.google.com/spreadsheets/d/1SX6NBoVAgQJ6U1MVXOaj8PK2l7WJ3RER9xtqwdhxkhw/edit?usp=sharing"",""สระบุรี!I415"")"),0)</f>
        <v>0</v>
      </c>
      <c r="J520" s="188">
        <f ca="1">IFERROR(__xludf.DUMMYFUNCTION("IMPORTRANGE(""https://docs.google.com/spreadsheets/d/1SX6NBoVAgQJ6U1MVXOaj8PK2l7WJ3RER9xtqwdhxkhw/edit?usp=sharing"",""สระบุรี!J415"")"),0)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IFERROR(__xludf.DUMMYFUNCTION("IMPORTRANGE(""https://docs.google.com/spreadsheets/d/1SX6NBoVAgQJ6U1MVXOaj8PK2l7WJ3RER9xtqwdhxkhw/edit?usp=sharing"",""สระบุรี!I416"")"),0)</f>
        <v>0</v>
      </c>
      <c r="J521" s="188">
        <f ca="1">IFERROR(__xludf.DUMMYFUNCTION("IMPORTRANGE(""https://docs.google.com/spreadsheets/d/1SX6NBoVAgQJ6U1MVXOaj8PK2l7WJ3RER9xtqwdhxkhw/edit?usp=sharing"",""สระบุรี!J416"")"),0)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IFERROR(__xludf.DUMMYFUNCTION("IMPORTRANGE(""https://docs.google.com/spreadsheets/d/1SX6NBoVAgQJ6U1MVXOaj8PK2l7WJ3RER9xtqwdhxkhw/edit?usp=sharing"",""สระบุรี!I417"")"),0)</f>
        <v>0</v>
      </c>
      <c r="J522" s="188">
        <f ca="1">IFERROR(__xludf.DUMMYFUNCTION("IMPORTRANGE(""https://docs.google.com/spreadsheets/d/1SX6NBoVAgQJ6U1MVXOaj8PK2l7WJ3RER9xtqwdhxkhw/edit?usp=sharing"",""สระบุรี!J417"")"),0)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IFERROR(__xludf.DUMMYFUNCTION("IMPORTRANGE(""https://docs.google.com/spreadsheets/d/1SX6NBoVAgQJ6U1MVXOaj8PK2l7WJ3RER9xtqwdhxkhw/edit?usp=sharing"",""สระบุรี!I418"")"),0)</f>
        <v>0</v>
      </c>
      <c r="J523" s="188">
        <f ca="1">IFERROR(__xludf.DUMMYFUNCTION("IMPORTRANGE(""https://docs.google.com/spreadsheets/d/1SX6NBoVAgQJ6U1MVXOaj8PK2l7WJ3RER9xtqwdhxkhw/edit?usp=sharing"",""สระบุรี!J418"")"),0)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IFERROR(__xludf.DUMMYFUNCTION("IMPORTRANGE(""https://docs.google.com/spreadsheets/d/1SX6NBoVAgQJ6U1MVXOaj8PK2l7WJ3RER9xtqwdhxkhw/edit?usp=sharing"",""สระบุรี!I419"")"),0)</f>
        <v>0</v>
      </c>
      <c r="J524" s="188">
        <f ca="1">IFERROR(__xludf.DUMMYFUNCTION("IMPORTRANGE(""https://docs.google.com/spreadsheets/d/1SX6NBoVAgQJ6U1MVXOaj8PK2l7WJ3RER9xtqwdhxkhw/edit?usp=sharing"",""สระบุรี!J419"")"),0)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IFERROR(__xludf.DUMMYFUNCTION("IMPORTRANGE(""https://docs.google.com/spreadsheets/d/1SX6NBoVAgQJ6U1MVXOaj8PK2l7WJ3RER9xtqwdhxkhw/edit?usp=sharing"",""สระบุรี!I420"")"),0)</f>
        <v>0</v>
      </c>
      <c r="J525" s="285">
        <f ca="1">IFERROR(__xludf.DUMMYFUNCTION("IMPORTRANGE(""https://docs.google.com/spreadsheets/d/1SX6NBoVAgQJ6U1MVXOaj8PK2l7WJ3RER9xtqwdhxkhw/edit?usp=sharing"",""สระบุรี!J420"")"),0)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IFERROR(__xludf.DUMMYFUNCTION("IMPORTRANGE(""https://docs.google.com/spreadsheets/d/1SX6NBoVAgQJ6U1MVXOaj8PK2l7WJ3RER9xtqwdhxkhw/edit?usp=sharing"",""สระบุรี!I421"")"),0)</f>
        <v>0</v>
      </c>
      <c r="J526" s="285">
        <f ca="1">IFERROR(__xludf.DUMMYFUNCTION("IMPORTRANGE(""https://docs.google.com/spreadsheets/d/1SX6NBoVAgQJ6U1MVXOaj8PK2l7WJ3RER9xtqwdhxkhw/edit?usp=sharing"",""สระบุรี!J421"")"),0)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IFERROR(__xludf.DUMMYFUNCTION("IMPORTRANGE(""https://docs.google.com/spreadsheets/d/1SX6NBoVAgQJ6U1MVXOaj8PK2l7WJ3RER9xtqwdhxkhw/edit?usp=sharing"",""สระบุรี!I422"")"),0)</f>
        <v>0</v>
      </c>
      <c r="J527" s="198">
        <f ca="1">IFERROR(__xludf.DUMMYFUNCTION("IMPORTRANGE(""https://docs.google.com/spreadsheets/d/1SX6NBoVAgQJ6U1MVXOaj8PK2l7WJ3RER9xtqwdhxkhw/edit?usp=sharing"",""สระบุรี!J422"")"),0)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IFERROR(__xludf.DUMMYFUNCTION("IMPORTRANGE(""https://docs.google.com/spreadsheets/d/1SX6NBoVAgQJ6U1MVXOaj8PK2l7WJ3RER9xtqwdhxkhw/edit?usp=sharing"",""สระบุรี!I423"")"),0)</f>
        <v>0</v>
      </c>
      <c r="J528" s="198">
        <f ca="1">IFERROR(__xludf.DUMMYFUNCTION("IMPORTRANGE(""https://docs.google.com/spreadsheets/d/1SX6NBoVAgQJ6U1MVXOaj8PK2l7WJ3RER9xtqwdhxkhw/edit?usp=sharing"",""สระบุรี!J423"")"),0)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IFERROR(__xludf.DUMMYFUNCTION("IMPORTRANGE(""https://docs.google.com/spreadsheets/d/1SX6NBoVAgQJ6U1MVXOaj8PK2l7WJ3RER9xtqwdhxkhw/edit?usp=sharing"",""สระบุรี!I424"")"),0)</f>
        <v>0</v>
      </c>
      <c r="J529" s="198">
        <f ca="1">IFERROR(__xludf.DUMMYFUNCTION("IMPORTRANGE(""https://docs.google.com/spreadsheets/d/1SX6NBoVAgQJ6U1MVXOaj8PK2l7WJ3RER9xtqwdhxkhw/edit?usp=sharing"",""สระบุรี!J424"")"),0)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IFERROR(__xludf.DUMMYFUNCTION("IMPORTRANGE(""https://docs.google.com/spreadsheets/d/1SX6NBoVAgQJ6U1MVXOaj8PK2l7WJ3RER9xtqwdhxkhw/edit?usp=sharing"",""สระบุรี!I425"")"),0)</f>
        <v>0</v>
      </c>
      <c r="J530" s="198">
        <f ca="1">IFERROR(__xludf.DUMMYFUNCTION("IMPORTRANGE(""https://docs.google.com/spreadsheets/d/1SX6NBoVAgQJ6U1MVXOaj8PK2l7WJ3RER9xtqwdhxkhw/edit?usp=sharing"",""สระบุรี!J425"")"),0)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IFERROR(__xludf.DUMMYFUNCTION("IMPORTRANGE(""https://docs.google.com/spreadsheets/d/1SX6NBoVAgQJ6U1MVXOaj8PK2l7WJ3RER9xtqwdhxkhw/edit?usp=sharing"",""สระบุรี!I426"")"),0)</f>
        <v>0</v>
      </c>
      <c r="J531" s="198">
        <f ca="1">IFERROR(__xludf.DUMMYFUNCTION("IMPORTRANGE(""https://docs.google.com/spreadsheets/d/1SX6NBoVAgQJ6U1MVXOaj8PK2l7WJ3RER9xtqwdhxkhw/edit?usp=sharing"",""สระบุรี!J426"")"),0)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IFERROR(__xludf.DUMMYFUNCTION("IMPORTRANGE(""https://docs.google.com/spreadsheets/d/1SX6NBoVAgQJ6U1MVXOaj8PK2l7WJ3RER9xtqwdhxkhw/edit?usp=sharing"",""สระบุรี!L428"")"),35190)</f>
        <v>35190</v>
      </c>
      <c r="M533" s="412"/>
      <c r="N533" s="412">
        <f ca="1">IFERROR(__xludf.DUMMYFUNCTION("IMPORTRANGE(""https://docs.google.com/spreadsheets/d/1SX6NBoVAgQJ6U1MVXOaj8PK2l7WJ3RER9xtqwdhxkhw/edit?usp=sharing"",""สระบุรี!M428"")"),25560)</f>
        <v>25560</v>
      </c>
      <c r="O533" s="412">
        <f t="shared" ref="O533:O537" ca="1" si="118">+IF(L533&gt;0,N533*100/L533,0)</f>
        <v>72.63427109974424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IFERROR(__xludf.DUMMYFUNCTION("IMPORTRANGE(""https://docs.google.com/spreadsheets/d/1SX6NBoVAgQJ6U1MVXOaj8PK2l7WJ3RER9xtqwdhxkhw/edit?usp=sharing"",""สระบุรี!M429"")"),0)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IFERROR(__xludf.DUMMYFUNCTION("IMPORTRANGE(""https://docs.google.com/spreadsheets/d/1SX6NBoVAgQJ6U1MVXOaj8PK2l7WJ3RER9xtqwdhxkhw/edit?usp=sharing"",""สระบุรี!L430"")"),35190)</f>
        <v>35190</v>
      </c>
      <c r="M535" s="165"/>
      <c r="N535" s="169">
        <f ca="1">IFERROR(__xludf.DUMMYFUNCTION("IMPORTRANGE(""https://docs.google.com/spreadsheets/d/1SX6NBoVAgQJ6U1MVXOaj8PK2l7WJ3RER9xtqwdhxkhw/edit?usp=sharing"",""สระบุรี!M430"")"),25560)</f>
        <v>25560</v>
      </c>
      <c r="O535" s="169">
        <f t="shared" ca="1" si="118"/>
        <v>72.63427109974424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IFERROR(__xludf.DUMMYFUNCTION("IMPORTRANGE(""https://docs.google.com/spreadsheets/d/1SX6NBoVAgQJ6U1MVXOaj8PK2l7WJ3RER9xtqwdhxkhw/edit?usp=sharing"",""สระบุรี!M431"")"),0)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IFERROR(__xludf.DUMMYFUNCTION("IMPORTRANGE(""https://docs.google.com/spreadsheets/d/1SX6NBoVAgQJ6U1MVXOaj8PK2l7WJ3RER9xtqwdhxkhw/edit?usp=sharing"",""สระบุรี!L432"")"),35190)</f>
        <v>35190</v>
      </c>
      <c r="M537" s="169"/>
      <c r="N537" s="169">
        <f ca="1">IFERROR(__xludf.DUMMYFUNCTION("IMPORTRANGE(""https://docs.google.com/spreadsheets/d/1SX6NBoVAgQJ6U1MVXOaj8PK2l7WJ3RER9xtqwdhxkhw/edit?usp=sharing"",""สระบุรี!M432"")"),25560)</f>
        <v>25560</v>
      </c>
      <c r="O537" s="169">
        <f t="shared" ca="1" si="118"/>
        <v>72.63427109974424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IFERROR(__xludf.DUMMYFUNCTION("IMPORTRANGE(""https://docs.google.com/spreadsheets/d/1SX6NBoVAgQJ6U1MVXOaj8PK2l7WJ3RER9xtqwdhxkhw/edit?usp=sharing"",""สระบุรี!M433"")"),13050)</f>
        <v>13050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IFERROR(__xludf.DUMMYFUNCTION("IMPORTRANGE(""https://docs.google.com/spreadsheets/d/1SX6NBoVAgQJ6U1MVXOaj8PK2l7WJ3RER9xtqwdhxkhw/edit?usp=sharing"",""สระบุรี!M436"")"),12510)</f>
        <v>12510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IFERROR(__xludf.DUMMYFUNCTION("IMPORTRANGE(""https://docs.google.com/spreadsheets/d/1SX6NBoVAgQJ6U1MVXOaj8PK2l7WJ3RER9xtqwdhxkhw/edit?usp=sharing"",""สระบุรี!I442"")"),23)</f>
        <v>23</v>
      </c>
      <c r="J547" s="189">
        <f ca="1">IFERROR(__xludf.DUMMYFUNCTION("IMPORTRANGE(""https://docs.google.com/spreadsheets/d/1SX6NBoVAgQJ6U1MVXOaj8PK2l7WJ3RER9xtqwdhxkhw/edit?usp=sharing"",""สระบุรี!J442"")"),23)</f>
        <v>23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IFERROR(__xludf.DUMMYFUNCTION("IMPORTRANGE(""https://docs.google.com/spreadsheets/d/1SX6NBoVAgQJ6U1MVXOaj8PK2l7WJ3RER9xtqwdhxkhw/edit?usp=sharing"",""สระบุรี!M447"")"),0)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IFERROR(__xludf.DUMMYFUNCTION("IMPORTRANGE(""https://docs.google.com/spreadsheets/d/1SX6NBoVAgQJ6U1MVXOaj8PK2l7WJ3RER9xtqwdhxkhw/edit?usp=sharing"",""สระบุรี!M448"")"),0)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IFERROR(__xludf.DUMMYFUNCTION("IMPORTRANGE(""https://docs.google.com/spreadsheets/d/1SX6NBoVAgQJ6U1MVXOaj8PK2l7WJ3RER9xtqwdhxkhw/edit?usp=sharing"",""สระบุรี!M449"")"),0)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IFERROR(__xludf.DUMMYFUNCTION("IMPORTRANGE(""https://docs.google.com/spreadsheets/d/1SX6NBoVAgQJ6U1MVXOaj8PK2l7WJ3RER9xtqwdhxkhw/edit?usp=sharing"",""สระบุรี!M450"")"),0)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IFERROR(__xludf.DUMMYFUNCTION("IMPORTRANGE(""https://docs.google.com/spreadsheets/d/1SX6NBoVAgQJ6U1MVXOaj8PK2l7WJ3RER9xtqwdhxkhw/edit?usp=sharing"",""สระบุรี!I455"")"),0)</f>
        <v>0</v>
      </c>
      <c r="J560" s="162">
        <f ca="1">IFERROR(__xludf.DUMMYFUNCTION("IMPORTRANGE(""https://docs.google.com/spreadsheets/d/1SX6NBoVAgQJ6U1MVXOaj8PK2l7WJ3RER9xtqwdhxkhw/edit?usp=sharing"",""สระบุรี!J455"")"),0)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IFERROR(__xludf.DUMMYFUNCTION("IMPORTRANGE(""https://docs.google.com/spreadsheets/d/1SX6NBoVAgQJ6U1MVXOaj8PK2l7WJ3RER9xtqwdhxkhw/edit?usp=sharing"",""สระบุรี!I456"")"),0)</f>
        <v>0</v>
      </c>
      <c r="J561" s="204">
        <f ca="1">IFERROR(__xludf.DUMMYFUNCTION("IMPORTRANGE(""https://docs.google.com/spreadsheets/d/1SX6NBoVAgQJ6U1MVXOaj8PK2l7WJ3RER9xtqwdhxkhw/edit?usp=sharing"",""สระบุรี!J456"")"),0)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IFERROR(__xludf.DUMMYFUNCTION("IMPORTRANGE(""https://docs.google.com/spreadsheets/d/1SX6NBoVAgQJ6U1MVXOaj8PK2l7WJ3RER9xtqwdhxkhw/edit?usp=sharing"",""สระบุรี!J459"")"),3353)</f>
        <v>3353</v>
      </c>
      <c r="K564" s="372">
        <f ca="1">IF(I564&gt;0,J564*100/I564,0)</f>
        <v>558.83333333333337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IFERROR(__xludf.DUMMYFUNCTION("IMPORTRANGE(""https://docs.google.com/spreadsheets/d/1SX6NBoVAgQJ6U1MVXOaj8PK2l7WJ3RER9xtqwdhxkhw/edit?usp=sharing"",""สระบุรี!M459"")"),46690)</f>
        <v>46690</v>
      </c>
      <c r="O564" s="373">
        <f t="shared" ref="O564:O568" ca="1" si="122">+IF(L564&gt;0,N564*100/L564,0)</f>
        <v>37.149904519414385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IFERROR(__xludf.DUMMYFUNCTION("IMPORTRANGE(""https://docs.google.com/spreadsheets/d/1SX6NBoVAgQJ6U1MVXOaj8PK2l7WJ3RER9xtqwdhxkhw/edit?usp=sharing"",""สระบุรี!M460"")"),0)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IFERROR(__xludf.DUMMYFUNCTION("IMPORTRANGE(""https://docs.google.com/spreadsheets/d/1SX6NBoVAgQJ6U1MVXOaj8PK2l7WJ3RER9xtqwdhxkhw/edit?usp=sharing"",""สระบุรี!L461"")"),125680)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IFERROR(__xludf.DUMMYFUNCTION("IMPORTRANGE(""https://docs.google.com/spreadsheets/d/1SX6NBoVAgQJ6U1MVXOaj8PK2l7WJ3RER9xtqwdhxkhw/edit?usp=sharing"",""สระบุรี!M461"")"),46690)</f>
        <v>46690</v>
      </c>
      <c r="O566" s="169">
        <f t="shared" ca="1" si="122"/>
        <v>37.149904519414385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IFERROR(__xludf.DUMMYFUNCTION("IMPORTRANGE(""https://docs.google.com/spreadsheets/d/1SX6NBoVAgQJ6U1MVXOaj8PK2l7WJ3RER9xtqwdhxkhw/edit?usp=sharing"",""สระบุรี!M462"")"),0)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IFERROR(__xludf.DUMMYFUNCTION("IMPORTRANGE(""https://docs.google.com/spreadsheets/d/1SX6NBoVAgQJ6U1MVXOaj8PK2l7WJ3RER9xtqwdhxkhw/edit?usp=sharing"",""สระบุรี!L463"")"),125680)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IFERROR(__xludf.DUMMYFUNCTION("IMPORTRANGE(""https://docs.google.com/spreadsheets/d/1SX6NBoVAgQJ6U1MVXOaj8PK2l7WJ3RER9xtqwdhxkhw/edit?usp=sharing"",""สระบุรี!M463"")"),46690)</f>
        <v>46690</v>
      </c>
      <c r="O568" s="169">
        <f t="shared" ca="1" si="122"/>
        <v>37.149904519414385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IFERROR(__xludf.DUMMYFUNCTION("IMPORTRANGE(""https://docs.google.com/spreadsheets/d/1SX6NBoVAgQJ6U1MVXOaj8PK2l7WJ3RER9xtqwdhxkhw/edit?usp=sharing"",""สระบุรี!M466"")"),28974)</f>
        <v>28974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IFERROR(__xludf.DUMMYFUNCTION("IMPORTRANGE(""https://docs.google.com/spreadsheets/d/1SX6NBoVAgQJ6U1MVXOaj8PK2l7WJ3RER9xtqwdhxkhw/edit?usp=sharing"",""สระบุรี!M467"")"),17716)</f>
        <v>17716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IFERROR(__xludf.DUMMYFUNCTION("IMPORTRANGE(""https://docs.google.com/spreadsheets/d/1SX6NBoVAgQJ6U1MVXOaj8PK2l7WJ3RER9xtqwdhxkhw/edit?usp=sharing"",""สระบุรี!J468"")"),3353)</f>
        <v>3353</v>
      </c>
      <c r="K573" s="202">
        <f ca="1">IF(I573&gt;0,J573*100/I573,0)</f>
        <v>558.83333333333337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IFERROR(__xludf.DUMMYFUNCTION("IMPORTRANGE(""https://docs.google.com/spreadsheets/d/1SX6NBoVAgQJ6U1MVXOaj8PK2l7WJ3RER9xtqwdhxkhw/edit?usp=sharing"",""สระบุรี!I470"")"),0)</f>
        <v>0</v>
      </c>
      <c r="J575" s="198">
        <f ca="1">IFERROR(__xludf.DUMMYFUNCTION("IMPORTRANGE(""https://docs.google.com/spreadsheets/d/1SX6NBoVAgQJ6U1MVXOaj8PK2l7WJ3RER9xtqwdhxkhw/edit?usp=sharing"",""สระบุรี!J470"")"),0)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IFERROR(__xludf.DUMMYFUNCTION("IMPORTRANGE(""https://docs.google.com/spreadsheets/d/1SX6NBoVAgQJ6U1MVXOaj8PK2l7WJ3RER9xtqwdhxkhw/edit?usp=sharing"",""สระบุรี!I471"")"),0)</f>
        <v>0</v>
      </c>
      <c r="J576" s="198">
        <f ca="1">IFERROR(__xludf.DUMMYFUNCTION("IMPORTRANGE(""https://docs.google.com/spreadsheets/d/1SX6NBoVAgQJ6U1MVXOaj8PK2l7WJ3RER9xtqwdhxkhw/edit?usp=sharing"",""สระบุรี!J471"")"),0)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IFERROR(__xludf.DUMMYFUNCTION("IMPORTRANGE(""https://docs.google.com/spreadsheets/d/1SX6NBoVAgQJ6U1MVXOaj8PK2l7WJ3RER9xtqwdhxkhw/edit?usp=sharing"",""สระบุรี!I472"")"),0)</f>
        <v>0</v>
      </c>
      <c r="J577" s="189">
        <f ca="1">IFERROR(__xludf.DUMMYFUNCTION("IMPORTRANGE(""https://docs.google.com/spreadsheets/d/1SX6NBoVAgQJ6U1MVXOaj8PK2l7WJ3RER9xtqwdhxkhw/edit?usp=sharing"",""สระบุรี!J472"")"),3353)</f>
        <v>3353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IFERROR(__xludf.DUMMYFUNCTION("IMPORTRANGE(""https://docs.google.com/spreadsheets/d/1SX6NBoVAgQJ6U1MVXOaj8PK2l7WJ3RER9xtqwdhxkhw/edit?usp=sharing"",""สระบุรี!I473"")"),0)</f>
        <v>0</v>
      </c>
      <c r="J578" s="198">
        <f ca="1">IFERROR(__xludf.DUMMYFUNCTION("IMPORTRANGE(""https://docs.google.com/spreadsheets/d/1SX6NBoVAgQJ6U1MVXOaj8PK2l7WJ3RER9xtqwdhxkhw/edit?usp=sharing"",""สระบุรี!J473"")"),0)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IFERROR(__xludf.DUMMYFUNCTION("IMPORTRANGE(""https://docs.google.com/spreadsheets/d/1SX6NBoVAgQJ6U1MVXOaj8PK2l7WJ3RER9xtqwdhxkhw/edit?usp=sharing"",""สระบุรี!I474"")"),0)</f>
        <v>0</v>
      </c>
      <c r="J579" s="198">
        <f ca="1">IFERROR(__xludf.DUMMYFUNCTION("IMPORTRANGE(""https://docs.google.com/spreadsheets/d/1SX6NBoVAgQJ6U1MVXOaj8PK2l7WJ3RER9xtqwdhxkhw/edit?usp=sharing"",""สระบุรี!J474"")"),0)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IFERROR(__xludf.DUMMYFUNCTION("IMPORTRANGE(""https://docs.google.com/spreadsheets/d/1SX6NBoVAgQJ6U1MVXOaj8PK2l7WJ3RER9xtqwdhxkhw/edit?usp=sharing"",""สระบุรี!I475"")"),500)</f>
        <v>500</v>
      </c>
      <c r="J580" s="371">
        <f ca="1">IFERROR(__xludf.DUMMYFUNCTION("IMPORTRANGE(""https://docs.google.com/spreadsheets/d/1SX6NBoVAgQJ6U1MVXOaj8PK2l7WJ3RER9xtqwdhxkhw/edit?usp=sharing"",""สระบุรี!J475"")"),0)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IFERROR(__xludf.DUMMYFUNCTION("IMPORTRANGE(""https://docs.google.com/spreadsheets/d/1SX6NBoVAgQJ6U1MVXOaj8PK2l7WJ3RER9xtqwdhxkhw/edit?usp=sharing"",""สระบุรี!M475"")"),233836.68)</f>
        <v>233836.68</v>
      </c>
      <c r="O580" s="373">
        <f t="shared" ref="O580:O584" ca="1" si="124">+IF(L580&gt;0,N580*100/L580,0)</f>
        <v>61.902496360026475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IFERROR(__xludf.DUMMYFUNCTION("IMPORTRANGE(""https://docs.google.com/spreadsheets/d/1SX6NBoVAgQJ6U1MVXOaj8PK2l7WJ3RER9xtqwdhxkhw/edit?usp=sharing"",""สระบุรี!M476"")"),0)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IFERROR(__xludf.DUMMYFUNCTION("IMPORTRANGE(""https://docs.google.com/spreadsheets/d/1SX6NBoVAgQJ6U1MVXOaj8PK2l7WJ3RER9xtqwdhxkhw/edit?usp=sharing"",""สระบุรี!L477"")"),377750)</f>
        <v>377750</v>
      </c>
      <c r="M582" s="165"/>
      <c r="N582" s="169">
        <f ca="1">IFERROR(__xludf.DUMMYFUNCTION("IMPORTRANGE(""https://docs.google.com/spreadsheets/d/1SX6NBoVAgQJ6U1MVXOaj8PK2l7WJ3RER9xtqwdhxkhw/edit?usp=sharing"",""สระบุรี!M477"")"),233836.68)</f>
        <v>233836.68</v>
      </c>
      <c r="O582" s="169">
        <f t="shared" ca="1" si="124"/>
        <v>61.902496360026475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IFERROR(__xludf.DUMMYFUNCTION("IMPORTRANGE(""https://docs.google.com/spreadsheets/d/1SX6NBoVAgQJ6U1MVXOaj8PK2l7WJ3RER9xtqwdhxkhw/edit?usp=sharing"",""สระบุรี!M478"")"),0)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IFERROR(__xludf.DUMMYFUNCTION("IMPORTRANGE(""https://docs.google.com/spreadsheets/d/1SX6NBoVAgQJ6U1MVXOaj8PK2l7WJ3RER9xtqwdhxkhw/edit?usp=sharing"",""สระบุรี!L479"")"),377750)</f>
        <v>377750</v>
      </c>
      <c r="M584" s="169"/>
      <c r="N584" s="169">
        <f ca="1">IFERROR(__xludf.DUMMYFUNCTION("IMPORTRANGE(""https://docs.google.com/spreadsheets/d/1SX6NBoVAgQJ6U1MVXOaj8PK2l7WJ3RER9xtqwdhxkhw/edit?usp=sharing"",""สระบุรี!M479"")"),233836.68)</f>
        <v>233836.68</v>
      </c>
      <c r="O584" s="169">
        <f t="shared" ca="1" si="124"/>
        <v>61.902496360026475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IFERROR(__xludf.DUMMYFUNCTION("IMPORTRANGE(""https://docs.google.com/spreadsheets/d/1SX6NBoVAgQJ6U1MVXOaj8PK2l7WJ3RER9xtqwdhxkhw/edit?usp=sharing"",""สระบุรี!M482"")"),64902)</f>
        <v>64902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IFERROR(__xludf.DUMMYFUNCTION("IMPORTRANGE(""https://docs.google.com/spreadsheets/d/1SX6NBoVAgQJ6U1MVXOaj8PK2l7WJ3RER9xtqwdhxkhw/edit?usp=sharing"",""สระบุรี!M483"")"),168934.68)</f>
        <v>168934.68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IFERROR(__xludf.DUMMYFUNCTION("IMPORTRANGE(""https://docs.google.com/spreadsheets/d/1SX6NBoVAgQJ6U1MVXOaj8PK2l7WJ3RER9xtqwdhxkhw/edit?usp=sharing"",""สระบุรี!I484"")"),500)</f>
        <v>500</v>
      </c>
      <c r="J589" s="188">
        <f ca="1">IFERROR(__xludf.DUMMYFUNCTION("IMPORTRANGE(""https://docs.google.com/spreadsheets/d/1SX6NBoVAgQJ6U1MVXOaj8PK2l7WJ3RER9xtqwdhxkhw/edit?usp=sharing"",""สระบุรี!J484"")"),26)</f>
        <v>26</v>
      </c>
      <c r="K589" s="163">
        <f t="shared" ref="K589:K596" ca="1" si="125">IF(I589&gt;0,J589*100/I589,0)</f>
        <v>5.2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8">
        <f ca="1">IFERROR(__xludf.DUMMYFUNCTION("IMPORTRANGE(""https://docs.google.com/spreadsheets/d/1SX6NBoVAgQJ6U1MVXOaj8PK2l7WJ3RER9xtqwdhxkhw/edit?usp=sharing"",""สระบุรี!J485"")"),34.53)</f>
        <v>34.53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IFERROR(__xludf.DUMMYFUNCTION("IMPORTRANGE(""https://docs.google.com/spreadsheets/d/1SX6NBoVAgQJ6U1MVXOaj8PK2l7WJ3RER9xtqwdhxkhw/edit?usp=sharing"",""สระบุรี!I486"")"),500)</f>
        <v>500</v>
      </c>
      <c r="J591" s="188">
        <f ca="1">IFERROR(__xludf.DUMMYFUNCTION("IMPORTRANGE(""https://docs.google.com/spreadsheets/d/1SX6NBoVAgQJ6U1MVXOaj8PK2l7WJ3RER9xtqwdhxkhw/edit?usp=sharing"",""สระบุรี!J486"")"),0)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8">
        <f ca="1">IFERROR(__xludf.DUMMYFUNCTION("IMPORTRANGE(""https://docs.google.com/spreadsheets/d/1SX6NBoVAgQJ6U1MVXOaj8PK2l7WJ3RER9xtqwdhxkhw/edit?usp=sharing"",""สระบุรี!J487"")"),0)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IFERROR(__xludf.DUMMYFUNCTION("IMPORTRANGE(""https://docs.google.com/spreadsheets/d/1SX6NBoVAgQJ6U1MVXOaj8PK2l7WJ3RER9xtqwdhxkhw/edit?usp=sharing"",""สระบุรี!I488"")"),500)</f>
        <v>500</v>
      </c>
      <c r="J593" s="188">
        <f ca="1">IFERROR(__xludf.DUMMYFUNCTION("IMPORTRANGE(""https://docs.google.com/spreadsheets/d/1SX6NBoVAgQJ6U1MVXOaj8PK2l7WJ3RER9xtqwdhxkhw/edit?usp=sharing"",""สระบุรี!J488"")"),0)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8">
        <f ca="1">IFERROR(__xludf.DUMMYFUNCTION("IMPORTRANGE(""https://docs.google.com/spreadsheets/d/1SX6NBoVAgQJ6U1MVXOaj8PK2l7WJ3RER9xtqwdhxkhw/edit?usp=sharing"",""สระบุรี!J489"")"),0)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IFERROR(__xludf.DUMMYFUNCTION("IMPORTRANGE(""https://docs.google.com/spreadsheets/d/1SX6NBoVAgQJ6U1MVXOaj8PK2l7WJ3RER9xtqwdhxkhw/edit?usp=sharing"",""สระบุรี!I490"")"),500)</f>
        <v>500</v>
      </c>
      <c r="J595" s="188">
        <f ca="1">IFERROR(__xludf.DUMMYFUNCTION("IMPORTRANGE(""https://docs.google.com/spreadsheets/d/1SX6NBoVAgQJ6U1MVXOaj8PK2l7WJ3RER9xtqwdhxkhw/edit?usp=sharing"",""สระบุรี!J490"")"),0)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IFERROR(__xludf.DUMMYFUNCTION("IMPORTRANGE(""https://docs.google.com/spreadsheets/d/1SX6NBoVAgQJ6U1MVXOaj8PK2l7WJ3RER9xtqwdhxkhw/edit?usp=sharing"",""สระบุรี!I491"")"),0)</f>
        <v>0</v>
      </c>
      <c r="J596" s="242">
        <f ca="1">IFERROR(__xludf.DUMMYFUNCTION("IMPORTRANGE(""https://docs.google.com/spreadsheets/d/1SX6NBoVAgQJ6U1MVXOaj8PK2l7WJ3RER9xtqwdhxkhw/edit?usp=sharing"",""สระบุรี!J491"")"),0)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7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IFERROR(__xludf.DUMMYFUNCTION("IMPORTRANGE(""https://docs.google.com/spreadsheets/d/1SX6NBoVAgQJ6U1MVXOaj8PK2l7WJ3RER9xtqwdhxkhw/edit?usp=sharing"",""สระบุรี!M492"")"),1320)</f>
        <v>1320</v>
      </c>
      <c r="O597" s="412">
        <f t="shared" ref="O597:O601" ca="1" si="126">+IF(L597&gt;0,N597*100/L597,0)</f>
        <v>29.010989010989011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IFERROR(__xludf.DUMMYFUNCTION("IMPORTRANGE(""https://docs.google.com/spreadsheets/d/1SX6NBoVAgQJ6U1MVXOaj8PK2l7WJ3RER9xtqwdhxkhw/edit?usp=sharing"",""สระบุรี!M493"")"),0)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IFERROR(__xludf.DUMMYFUNCTION("IMPORTRANGE(""https://docs.google.com/spreadsheets/d/1SX6NBoVAgQJ6U1MVXOaj8PK2l7WJ3RER9xtqwdhxkhw/edit?usp=sharing"",""สระบุรี!M494"")"),1320)</f>
        <v>1320</v>
      </c>
      <c r="O599" s="169">
        <f t="shared" ca="1" si="126"/>
        <v>29.010989010989011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IFERROR(__xludf.DUMMYFUNCTION("IMPORTRANGE(""https://docs.google.com/spreadsheets/d/1SX6NBoVAgQJ6U1MVXOaj8PK2l7WJ3RER9xtqwdhxkhw/edit?usp=sharing"",""สระบุรี!M495"")"),0)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IFERROR(__xludf.DUMMYFUNCTION("IMPORTRANGE(""https://docs.google.com/spreadsheets/d/1SX6NBoVAgQJ6U1MVXOaj8PK2l7WJ3RER9xtqwdhxkhw/edit?usp=sharing"",""สระบุรี!M496"")"),1320)</f>
        <v>1320</v>
      </c>
      <c r="O601" s="169">
        <f t="shared" ca="1" si="126"/>
        <v>29.010989010989011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IFERROR(__xludf.DUMMYFUNCTION("IMPORTRANGE(""https://docs.google.com/spreadsheets/d/1SX6NBoVAgQJ6U1MVXOaj8PK2l7WJ3RER9xtqwdhxkhw/edit?usp=sharing"",""สระบุรี!M500"")"),1320)</f>
        <v>1320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IFERROR(__xludf.DUMMYFUNCTION("IMPORTRANGE(""https://docs.google.com/spreadsheets/d/1SX6NBoVAgQJ6U1MVXOaj8PK2l7WJ3RER9xtqwdhxkhw/edit?usp=sharing"",""สระบุรี!I506"")"),50)</f>
        <v>50</v>
      </c>
      <c r="J611" s="162">
        <f ca="1">IFERROR(__xludf.DUMMYFUNCTION("IMPORTRANGE(""https://docs.google.com/spreadsheets/d/1SX6NBoVAgQJ6U1MVXOaj8PK2l7WJ3RER9xtqwdhxkhw/edit?usp=sharing"",""สระบุรี!J506"")"),0)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IFERROR(__xludf.DUMMYFUNCTION("IMPORTRANGE(""https://docs.google.com/spreadsheets/d/1SX6NBoVAgQJ6U1MVXOaj8PK2l7WJ3RER9xtqwdhxkhw/edit?usp=sharing"",""สระบุรี!I507"")"),0)</f>
        <v>0</v>
      </c>
      <c r="J612" s="198">
        <f ca="1">IFERROR(__xludf.DUMMYFUNCTION("IMPORTRANGE(""https://docs.google.com/spreadsheets/d/1SX6NBoVAgQJ6U1MVXOaj8PK2l7WJ3RER9xtqwdhxkhw/edit?usp=sharing"",""สระบุรี!J507"")"),0)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IFERROR(__xludf.DUMMYFUNCTION("IMPORTRANGE(""https://docs.google.com/spreadsheets/d/1SX6NBoVAgQJ6U1MVXOaj8PK2l7WJ3RER9xtqwdhxkhw/edit?usp=sharing"",""สระบุรี!I508"")"),0)</f>
        <v>0</v>
      </c>
      <c r="J613" s="198">
        <f ca="1">IFERROR(__xludf.DUMMYFUNCTION("IMPORTRANGE(""https://docs.google.com/spreadsheets/d/1SX6NBoVAgQJ6U1MVXOaj8PK2l7WJ3RER9xtqwdhxkhw/edit?usp=sharing"",""สระบุรี!J508"")"),0)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IFERROR(__xludf.DUMMYFUNCTION("IMPORTRANGE(""https://docs.google.com/spreadsheets/d/1SX6NBoVAgQJ6U1MVXOaj8PK2l7WJ3RER9xtqwdhxkhw/edit?usp=sharing"",""สระบุรี!I509"")"),0)</f>
        <v>0</v>
      </c>
      <c r="J614" s="198">
        <f ca="1">IFERROR(__xludf.DUMMYFUNCTION("IMPORTRANGE(""https://docs.google.com/spreadsheets/d/1SX6NBoVAgQJ6U1MVXOaj8PK2l7WJ3RER9xtqwdhxkhw/edit?usp=sharing"",""สระบุรี!J509"")"),0)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IFERROR(__xludf.DUMMYFUNCTION("IMPORTRANGE(""https://docs.google.com/spreadsheets/d/1SX6NBoVAgQJ6U1MVXOaj8PK2l7WJ3RER9xtqwdhxkhw/edit?usp=sharing"",""สระบุรี!I510"")"),0)</f>
        <v>0</v>
      </c>
      <c r="J615" s="198">
        <f ca="1">IFERROR(__xludf.DUMMYFUNCTION("IMPORTRANGE(""https://docs.google.com/spreadsheets/d/1SX6NBoVAgQJ6U1MVXOaj8PK2l7WJ3RER9xtqwdhxkhw/edit?usp=sharing"",""สระบุรี!J510"")"),0)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IFERROR(__xludf.DUMMYFUNCTION("IMPORTRANGE(""https://docs.google.com/spreadsheets/d/1SX6NBoVAgQJ6U1MVXOaj8PK2l7WJ3RER9xtqwdhxkhw/edit?usp=sharing"",""สระบุรี!I511"")"),0)</f>
        <v>0</v>
      </c>
      <c r="J616" s="198">
        <f ca="1">IFERROR(__xludf.DUMMYFUNCTION("IMPORTRANGE(""https://docs.google.com/spreadsheets/d/1SX6NBoVAgQJ6U1MVXOaj8PK2l7WJ3RER9xtqwdhxkhw/edit?usp=sharing"",""สระบุรี!J511"")"),0)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IFERROR(__xludf.DUMMYFUNCTION("IMPORTRANGE(""https://docs.google.com/spreadsheets/d/1SX6NBoVAgQJ6U1MVXOaj8PK2l7WJ3RER9xtqwdhxkhw/edit?usp=sharing"",""สระบุรี!I512"")"),0)</f>
        <v>0</v>
      </c>
      <c r="J617" s="188">
        <f ca="1">IFERROR(__xludf.DUMMYFUNCTION("IMPORTRANGE(""https://docs.google.com/spreadsheets/d/1SX6NBoVAgQJ6U1MVXOaj8PK2l7WJ3RER9xtqwdhxkhw/edit?usp=sharing"",""สระบุรี!J512"")"),0)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IFERROR(__xludf.DUMMYFUNCTION("IMPORTRANGE(""https://docs.google.com/spreadsheets/d/1SX6NBoVAgQJ6U1MVXOaj8PK2l7WJ3RER9xtqwdhxkhw/edit?usp=sharing"",""สระบุรี!I513"")"),0)</f>
        <v>0</v>
      </c>
      <c r="J618" s="189">
        <f ca="1">IFERROR(__xludf.DUMMYFUNCTION("IMPORTRANGE(""https://docs.google.com/spreadsheets/d/1SX6NBoVAgQJ6U1MVXOaj8PK2l7WJ3RER9xtqwdhxkhw/edit?usp=sharing"",""สระบุรี!J513"")"),0)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IFERROR(__xludf.DUMMYFUNCTION("IMPORTRANGE(""https://docs.google.com/spreadsheets/d/1SX6NBoVAgQJ6U1MVXOaj8PK2l7WJ3RER9xtqwdhxkhw/edit?usp=sharing"",""สระบุรี!I514"")"),0)</f>
        <v>0</v>
      </c>
      <c r="J619" s="189">
        <f ca="1">IFERROR(__xludf.DUMMYFUNCTION("IMPORTRANGE(""https://docs.google.com/spreadsheets/d/1SX6NBoVAgQJ6U1MVXOaj8PK2l7WJ3RER9xtqwdhxkhw/edit?usp=sharing"",""สระบุรี!J514"")"),0)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IFERROR(__xludf.DUMMYFUNCTION("IMPORTRANGE(""https://docs.google.com/spreadsheets/d/1SX6NBoVAgQJ6U1MVXOaj8PK2l7WJ3RER9xtqwdhxkhw/edit?usp=sharing"",""สระบุรี!I515"")"),0)</f>
        <v>0</v>
      </c>
      <c r="J620" s="203">
        <f ca="1">IFERROR(__xludf.DUMMYFUNCTION("IMPORTRANGE(""https://docs.google.com/spreadsheets/d/1SX6NBoVAgQJ6U1MVXOaj8PK2l7WJ3RER9xtqwdhxkhw/edit?usp=sharing"",""สระบุรี!J515"")"),0)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IFERROR(__xludf.DUMMYFUNCTION("IMPORTRANGE(""https://docs.google.com/spreadsheets/d/1SX6NBoVAgQJ6U1MVXOaj8PK2l7WJ3RER9xtqwdhxkhw/edit?usp=sharing"",""สระบุรี!I516"")"),0)</f>
        <v>0</v>
      </c>
      <c r="J621" s="203">
        <f ca="1">IFERROR(__xludf.DUMMYFUNCTION("IMPORTRANGE(""https://docs.google.com/spreadsheets/d/1SX6NBoVAgQJ6U1MVXOaj8PK2l7WJ3RER9xtqwdhxkhw/edit?usp=sharing"",""สระบุรี!J516"")"),0)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IFERROR(__xludf.DUMMYFUNCTION("IMPORTRANGE(""https://docs.google.com/spreadsheets/d/1SX6NBoVAgQJ6U1MVXOaj8PK2l7WJ3RER9xtqwdhxkhw/edit?usp=sharing"",""สระบุรี!I517"")"),0)</f>
        <v>0</v>
      </c>
      <c r="J622" s="189">
        <f ca="1">IFERROR(__xludf.DUMMYFUNCTION("IMPORTRANGE(""https://docs.google.com/spreadsheets/d/1SX6NBoVAgQJ6U1MVXOaj8PK2l7WJ3RER9xtqwdhxkhw/edit?usp=sharing"",""สระบุรี!J517"")"),0)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IFERROR(__xludf.DUMMYFUNCTION("IMPORTRANGE(""https://docs.google.com/spreadsheets/d/1SX6NBoVAgQJ6U1MVXOaj8PK2l7WJ3RER9xtqwdhxkhw/edit?usp=sharing"",""สระบุรี!I518"")"),0)</f>
        <v>0</v>
      </c>
      <c r="J623" s="189">
        <f ca="1">IFERROR(__xludf.DUMMYFUNCTION("IMPORTRANGE(""https://docs.google.com/spreadsheets/d/1SX6NBoVAgQJ6U1MVXOaj8PK2l7WJ3RER9xtqwdhxkhw/edit?usp=sharing"",""สระบุรี!J518"")"),0)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IFERROR(__xludf.DUMMYFUNCTION("IMPORTRANGE(""https://docs.google.com/spreadsheets/d/1SX6NBoVAgQJ6U1MVXOaj8PK2l7WJ3RER9xtqwdhxkhw/edit?usp=sharing"",""สระบุรี!I519"")"),0)</f>
        <v>0</v>
      </c>
      <c r="J624" s="188">
        <f ca="1">IFERROR(__xludf.DUMMYFUNCTION("IMPORTRANGE(""https://docs.google.com/spreadsheets/d/1SX6NBoVAgQJ6U1MVXOaj8PK2l7WJ3RER9xtqwdhxkhw/edit?usp=sharing"",""สระบุรี!J519"")"),0)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IFERROR(__xludf.DUMMYFUNCTION("IMPORTRANGE(""https://docs.google.com/spreadsheets/d/1SX6NBoVAgQJ6U1MVXOaj8PK2l7WJ3RER9xtqwdhxkhw/edit?usp=sharing"",""สระบุรี!I520"")"),0)</f>
        <v>0</v>
      </c>
      <c r="J625" s="189">
        <f ca="1">IFERROR(__xludf.DUMMYFUNCTION("IMPORTRANGE(""https://docs.google.com/spreadsheets/d/1SX6NBoVAgQJ6U1MVXOaj8PK2l7WJ3RER9xtqwdhxkhw/edit?usp=sharing"",""สระบุรี!J520"")"),0)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IFERROR(__xludf.DUMMYFUNCTION("IMPORTRANGE(""https://docs.google.com/spreadsheets/d/1SX6NBoVAgQJ6U1MVXOaj8PK2l7WJ3RER9xtqwdhxkhw/edit?usp=sharing"",""สระบุรี!I521"")"),0)</f>
        <v>0</v>
      </c>
      <c r="J626" s="189">
        <f ca="1">IFERROR(__xludf.DUMMYFUNCTION("IMPORTRANGE(""https://docs.google.com/spreadsheets/d/1SX6NBoVAgQJ6U1MVXOaj8PK2l7WJ3RER9xtqwdhxkhw/edit?usp=sharing"",""สระบุรี!J521"")"),0)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2">
        <f ca="1">IFERROR(__xludf.DUMMYFUNCTION("IMPORTRANGE(""https://docs.google.com/spreadsheets/d/1SX6NBoVAgQJ6U1MVXOaj8PK2l7WJ3RER9xtqwdhxkhw/edit?usp=sharing"",""สระบุรี!J523"")"),721692.56)</f>
        <v>721692.56</v>
      </c>
      <c r="K628" s="343">
        <f t="shared" ref="K628:K635" ca="1" si="129">IF(I628&gt;0,J628*100/I628,0)</f>
        <v>29.472609435648845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IFERROR(__xludf.DUMMYFUNCTION("IMPORTRANGE(""https://docs.google.com/spreadsheets/d/1SX6NBoVAgQJ6U1MVXOaj8PK2l7WJ3RER9xtqwdhxkhw/edit?usp=sharing"",""สระบุรี!I524"")"),168)</f>
        <v>168</v>
      </c>
      <c r="J629" s="342">
        <f ca="1">IFERROR(__xludf.DUMMYFUNCTION("IMPORTRANGE(""https://docs.google.com/spreadsheets/d/1SX6NBoVAgQJ6U1MVXOaj8PK2l7WJ3RER9xtqwdhxkhw/edit?usp=sharing"",""สระบุรี!J524"")"),62)</f>
        <v>62</v>
      </c>
      <c r="K629" s="343">
        <f t="shared" ca="1" si="129"/>
        <v>36.904761904761905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2">
        <f ca="1">IFERROR(__xludf.DUMMYFUNCTION("IMPORTRANGE(""https://docs.google.com/spreadsheets/d/1SX6NBoVAgQJ6U1MVXOaj8PK2l7WJ3RER9xtqwdhxkhw/edit?usp=sharing"",""สระบุรี!J525"")"),613899.57)</f>
        <v>613899.56999999995</v>
      </c>
      <c r="K630" s="343">
        <f t="shared" ca="1" si="129"/>
        <v>3.6069243308249388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IFERROR(__xludf.DUMMYFUNCTION("IMPORTRANGE(""https://docs.google.com/spreadsheets/d/1SX6NBoVAgQJ6U1MVXOaj8PK2l7WJ3RER9xtqwdhxkhw/edit?usp=sharing"",""สระบุรี!I526"")"),253)</f>
        <v>253</v>
      </c>
      <c r="J631" s="342">
        <f ca="1">IFERROR(__xludf.DUMMYFUNCTION("IMPORTRANGE(""https://docs.google.com/spreadsheets/d/1SX6NBoVAgQJ6U1MVXOaj8PK2l7WJ3RER9xtqwdhxkhw/edit?usp=sharing"",""สระบุรี!J526"")"),71)</f>
        <v>71</v>
      </c>
      <c r="K631" s="343">
        <f t="shared" ca="1" si="129"/>
        <v>28.063241106719367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2">
        <f ca="1">IFERROR(__xludf.DUMMYFUNCTION("IMPORTRANGE(""https://docs.google.com/spreadsheets/d/1SX6NBoVAgQJ6U1MVXOaj8PK2l7WJ3RER9xtqwdhxkhw/edit?usp=sharing"",""สระบุรี!J527"")"),163905.3)</f>
        <v>163905.29999999999</v>
      </c>
      <c r="K632" s="343">
        <f t="shared" ca="1" si="129"/>
        <v>6.6532225582836633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IFERROR(__xludf.DUMMYFUNCTION("IMPORTRANGE(""https://docs.google.com/spreadsheets/d/1SX6NBoVAgQJ6U1MVXOaj8PK2l7WJ3RER9xtqwdhxkhw/edit?usp=sharing"",""สระบุรี!I528"")"),90)</f>
        <v>90</v>
      </c>
      <c r="J633" s="342">
        <f ca="1">IFERROR(__xludf.DUMMYFUNCTION("IMPORTRANGE(""https://docs.google.com/spreadsheets/d/1SX6NBoVAgQJ6U1MVXOaj8PK2l7WJ3RER9xtqwdhxkhw/edit?usp=sharing"",""สระบุรี!J528"")"),20)</f>
        <v>20</v>
      </c>
      <c r="K633" s="343">
        <f t="shared" ca="1" si="129"/>
        <v>22.222222222222221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IFERROR(__xludf.DUMMYFUNCTION("IMPORTRANGE(""https://docs.google.com/spreadsheets/d/1SX6NBoVAgQJ6U1MVXOaj8PK2l7WJ3RER9xtqwdhxkhw/edit?usp=sharing"",""สระบุรี!I529"")"),5265000)</f>
        <v>5265000</v>
      </c>
      <c r="J634" s="342">
        <f ca="1">IFERROR(__xludf.DUMMYFUNCTION("IMPORTRANGE(""https://docs.google.com/spreadsheets/d/1SX6NBoVAgQJ6U1MVXOaj8PK2l7WJ3RER9xtqwdhxkhw/edit?usp=sharing"",""สระบุรี!J529"")"),650000)</f>
        <v>650000</v>
      </c>
      <c r="K634" s="343">
        <f t="shared" ca="1" si="129"/>
        <v>12.345679012345679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IFERROR(__xludf.DUMMYFUNCTION("IMPORTRANGE(""https://docs.google.com/spreadsheets/d/1SX6NBoVAgQJ6U1MVXOaj8PK2l7WJ3RER9xtqwdhxkhw/edit?usp=sharing"",""สระบุรี!I530"")"),134)</f>
        <v>134</v>
      </c>
      <c r="J635" s="504">
        <f ca="1">IFERROR(__xludf.DUMMYFUNCTION("IMPORTRANGE(""https://docs.google.com/spreadsheets/d/1SX6NBoVAgQJ6U1MVXOaj8PK2l7WJ3RER9xtqwdhxkhw/edit?usp=sharing"",""สระบุรี!J530"")"),13)</f>
        <v>13</v>
      </c>
      <c r="K635" s="486">
        <f t="shared" ca="1" si="129"/>
        <v>9.7014925373134329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9915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9915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9915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IFERROR(__xludf.DUMMYFUNCTION("IMPORTRANGE(""https://docs.google.com/spreadsheets/d/1SX6NBoVAgQJ6U1MVXOaj8PK2l7WJ3RER9xtqwdhxkhw/edit#gid=346597447"",""สระบุรี!J541"")"),0)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IFERROR(__xludf.DUMMYFUNCTION("IMPORTRANGE(""https://docs.google.com/spreadsheets/d/1SX6NBoVAgQJ6U1MVXOaj8PK2l7WJ3RER9xtqwdhxkhw/edit#gid=346597447"",""สระบุรี!J542"")"),0)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IFERROR(__xludf.DUMMYFUNCTION("IMPORTRANGE(""https://docs.google.com/spreadsheets/d/1SX6NBoVAgQJ6U1MVXOaj8PK2l7WJ3RER9xtqwdhxkhw/edit#gid=346597447"",""สระบุรี!I543"")"),0)</f>
        <v>0</v>
      </c>
      <c r="J648" s="536">
        <f ca="1">IFERROR(__xludf.DUMMYFUNCTION("IMPORTRANGE(""https://docs.google.com/spreadsheets/d/1SX6NBoVAgQJ6U1MVXOaj8PK2l7WJ3RER9xtqwdhxkhw/edit#gid=346597447"",""สระบุรี!J543"")"),0)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IFERROR(__xludf.DUMMYFUNCTION("IMPORTRANGE(""https://docs.google.com/spreadsheets/d/1SX6NBoVAgQJ6U1MVXOaj8PK2l7WJ3RER9xtqwdhxkhw/edit#gid=346597447"",""สระบุรี!L543"")"),0)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IFERROR(__xludf.DUMMYFUNCTION("IMPORTRANGE(""https://docs.google.com/spreadsheets/d/1SX6NBoVAgQJ6U1MVXOaj8PK2l7WJ3RER9xtqwdhxkhw/edit#gid=346597447"",""สระบุรี!M543"")"),0)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IFERROR(__xludf.DUMMYFUNCTION("IMPORTRANGE(""https://docs.google.com/spreadsheets/d/1SX6NBoVAgQJ6U1MVXOaj8PK2l7WJ3RER9xtqwdhxkhw/edit#gid=346597447"",""สระบุรี!I544"")"),0)</f>
        <v>0</v>
      </c>
      <c r="J649" s="536">
        <f ca="1">IFERROR(__xludf.DUMMYFUNCTION("IMPORTRANGE(""https://docs.google.com/spreadsheets/d/1SX6NBoVAgQJ6U1MVXOaj8PK2l7WJ3RER9xtqwdhxkhw/edit#gid=346597447"",""สระบุรี!J544"")"),0)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IFERROR(__xludf.DUMMYFUNCTION("IMPORTRANGE(""https://docs.google.com/spreadsheets/d/1SX6NBoVAgQJ6U1MVXOaj8PK2l7WJ3RER9xtqwdhxkhw/edit#gid=346597447"",""สระบุรี!L544"")"),0)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IFERROR(__xludf.DUMMYFUNCTION("IMPORTRANGE(""https://docs.google.com/spreadsheets/d/1SX6NBoVAgQJ6U1MVXOaj8PK2l7WJ3RER9xtqwdhxkhw/edit#gid=346597447"",""สระบุรี!M544"")"),0)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IFERROR(__xludf.DUMMYFUNCTION("IMPORTRANGE(""https://docs.google.com/spreadsheets/d/1SX6NBoVAgQJ6U1MVXOaj8PK2l7WJ3RER9xtqwdhxkhw/edit#gid=346597447"",""สระบุรี!I545"")"),23)</f>
        <v>23</v>
      </c>
      <c r="J650" s="536">
        <f ca="1">IFERROR(__xludf.DUMMYFUNCTION("IMPORTRANGE(""https://docs.google.com/spreadsheets/d/1SX6NBoVAgQJ6U1MVXOaj8PK2l7WJ3RER9xtqwdhxkhw/edit#gid=346597447"",""สระบุรี!J545"")"),0)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IFERROR(__xludf.DUMMYFUNCTION("IMPORTRANGE(""https://docs.google.com/spreadsheets/d/1SX6NBoVAgQJ6U1MVXOaj8PK2l7WJ3RER9xtqwdhxkhw/edit#gid=346597447"",""สระบุรี!L545"")"),115)</f>
        <v>115</v>
      </c>
      <c r="M650" s="521"/>
      <c r="N650" s="538">
        <f ca="1">IFERROR(__xludf.DUMMYFUNCTION("IMPORTRANGE(""https://docs.google.com/spreadsheets/d/1SX6NBoVAgQJ6U1MVXOaj8PK2l7WJ3RER9xtqwdhxkhw/edit#gid=346597447"",""สระบุรี!M545"")"),0)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IFERROR(__xludf.DUMMYFUNCTION("IMPORTRANGE(""https://docs.google.com/spreadsheets/d/1SX6NBoVAgQJ6U1MVXOaj8PK2l7WJ3RER9xtqwdhxkhw/edit#gid=346597447"",""สระบุรี!I546"")"),0)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IFERROR(__xludf.DUMMYFUNCTION("IMPORTRANGE(""https://docs.google.com/spreadsheets/d/1SX6NBoVAgQJ6U1MVXOaj8PK2l7WJ3RER9xtqwdhxkhw/edit#gid=346597447"",""สระบุรี!L546"")"),0)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IFERROR(__xludf.DUMMYFUNCTION("IMPORTRANGE(""https://docs.google.com/spreadsheets/d/1SX6NBoVAgQJ6U1MVXOaj8PK2l7WJ3RER9xtqwdhxkhw/edit#gid=346597447"",""สระบุรี!M546"")"),0)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IFERROR(__xludf.DUMMYFUNCTION("IMPORTRANGE(""https://docs.google.com/spreadsheets/d/1SX6NBoVAgQJ6U1MVXOaj8PK2l7WJ3RER9xtqwdhxkhw/edit#gid=346597447"",""สระบุรี!J547"")"),0)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IFERROR(__xludf.DUMMYFUNCTION("IMPORTRANGE(""https://docs.google.com/spreadsheets/d/1SX6NBoVAgQJ6U1MVXOaj8PK2l7WJ3RER9xtqwdhxkhw/edit#gid=346597447"",""สระบุรี!J548"")"),0)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IFERROR(__xludf.DUMMYFUNCTION("IMPORTRANGE(""https://docs.google.com/spreadsheets/d/1SX6NBoVAgQJ6U1MVXOaj8PK2l7WJ3RER9xtqwdhxkhw/edit#gid=346597447"",""สระบุรี!J550"")"),0)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IFERROR(__xludf.DUMMYFUNCTION("IMPORTRANGE(""https://docs.google.com/spreadsheets/d/1SX6NBoVAgQJ6U1MVXOaj8PK2l7WJ3RER9xtqwdhxkhw/edit#gid=346597447"",""สระบุรี!J551"")"),0)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IFERROR(__xludf.DUMMYFUNCTION("IMPORTRANGE(""https://docs.google.com/spreadsheets/d/1SX6NBoVAgQJ6U1MVXOaj8PK2l7WJ3RER9xtqwdhxkhw/edit#gid=346597447"",""สระบุรี!J552"")"),0)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IFERROR(__xludf.DUMMYFUNCTION("IMPORTRANGE(""https://docs.google.com/spreadsheets/d/1SX6NBoVAgQJ6U1MVXOaj8PK2l7WJ3RER9xtqwdhxkhw/edit#gid=346597447"",""สระบุรี!J553"")"),0)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IFERROR(__xludf.DUMMYFUNCTION("IMPORTRANGE(""https://docs.google.com/spreadsheets/d/1SX6NBoVAgQJ6U1MVXOaj8PK2l7WJ3RER9xtqwdhxkhw/edit#gid=346597447"",""สระบุรี!J554"")"),0)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IFERROR(__xludf.DUMMYFUNCTION("IMPORTRANGE(""https://docs.google.com/spreadsheets/d/1SX6NBoVAgQJ6U1MVXOaj8PK2l7WJ3RER9xtqwdhxkhw/edit#gid=346597447"",""สระบุรี!J555"")"),0)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IFERROR(__xludf.DUMMYFUNCTION("IMPORTRANGE(""https://docs.google.com/spreadsheets/d/1SX6NBoVAgQJ6U1MVXOaj8PK2l7WJ3RER9xtqwdhxkhw/edit#gid=346597447"",""สระบุรี!J556"")"),0)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IFERROR(__xludf.DUMMYFUNCTION("IMPORTRANGE(""https://docs.google.com/spreadsheets/d/1SX6NBoVAgQJ6U1MVXOaj8PK2l7WJ3RER9xtqwdhxkhw/edit#gid=346597447"",""สระบุรี!L556"")"),8000)</f>
        <v>8000</v>
      </c>
      <c r="M661" s="521"/>
      <c r="N661" s="538">
        <f ca="1">IFERROR(__xludf.DUMMYFUNCTION("IMPORTRANGE(""https://docs.google.com/spreadsheets/d/1SX6NBoVAgQJ6U1MVXOaj8PK2l7WJ3RER9xtqwdhxkhw/edit#gid=346597447"",""สระบุรี!M556"")"),0)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IFERROR(__xludf.DUMMYFUNCTION("IMPORTRANGE(""https://docs.google.com/spreadsheets/d/1SX6NBoVAgQJ6U1MVXOaj8PK2l7WJ3RER9xtqwdhxkhw/edit#gid=346597447"",""สระบุรี!J557"")"),0)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IFERROR(__xludf.DUMMYFUNCTION("IMPORTRANGE(""https://docs.google.com/spreadsheets/d/1SX6NBoVAgQJ6U1MVXOaj8PK2l7WJ3RER9xtqwdhxkhw/edit#gid=346597447"",""สระบุรี!I558"")"),200)</f>
        <v>200</v>
      </c>
      <c r="J663" s="536">
        <f ca="1">IFERROR(__xludf.DUMMYFUNCTION("IMPORTRANGE(""https://docs.google.com/spreadsheets/d/1SX6NBoVAgQJ6U1MVXOaj8PK2l7WJ3RER9xtqwdhxkhw/edit#gid=346597447"",""สระบุรี!J558"")"),0)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IFERROR(__xludf.DUMMYFUNCTION("IMPORTRANGE(""https://docs.google.com/spreadsheets/d/1SX6NBoVAgQJ6U1MVXOaj8PK2l7WJ3RER9xtqwdhxkhw/edit#gid=346597447"",""สระบุรี!I560"")"),15)</f>
        <v>15</v>
      </c>
      <c r="J665" s="536">
        <f ca="1">IFERROR(__xludf.DUMMYFUNCTION("IMPORTRANGE(""https://docs.google.com/spreadsheets/d/1SX6NBoVAgQJ6U1MVXOaj8PK2l7WJ3RER9xtqwdhxkhw/edit#gid=346597447"",""สระบุรี!J560"")"),0)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IFERROR(__xludf.DUMMYFUNCTION("IMPORTRANGE(""https://docs.google.com/spreadsheets/d/1SX6NBoVAgQJ6U1MVXOaj8PK2l7WJ3RER9xtqwdhxkhw/edit#gid=346597447"",""สระบุรี!L560"")"),1800)</f>
        <v>1800</v>
      </c>
      <c r="M665" s="521"/>
      <c r="N665" s="538">
        <f ca="1">IFERROR(__xludf.DUMMYFUNCTION("IMPORTRANGE(""https://docs.google.com/spreadsheets/d/1SX6NBoVAgQJ6U1MVXOaj8PK2l7WJ3RER9xtqwdhxkhw/edit#gid=346597447"",""สระบุรี!M560"")"),0)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IFERROR(__xludf.DUMMYFUNCTION("IMPORTRANGE(""https://docs.google.com/spreadsheets/d/1SX6NBoVAgQJ6U1MVXOaj8PK2l7WJ3RER9xtqwdhxkhw/edit#gid=346597447"",""สระบุรี!J561"")"),0)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IFERROR(__xludf.DUMMYFUNCTION("IMPORTRANGE(""https://docs.google.com/spreadsheets/d/1SX6NBoVAgQJ6U1MVXOaj8PK2l7WJ3RER9xtqwdhxkhw/edit#gid=346597447"",""สระบุรี!J562"")"),0)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IFERROR(__xludf.DUMMYFUNCTION("IMPORTRANGE(""https://docs.google.com/spreadsheets/d/1SX6NBoVAgQJ6U1MVXOaj8PK2l7WJ3RER9xtqwdhxkhw/edit#gid=346597447"",""สระบุรี!I563"")"),0)</f>
        <v>0</v>
      </c>
      <c r="J668" s="536">
        <f ca="1">IFERROR(__xludf.DUMMYFUNCTION("IMPORTRANGE(""https://docs.google.com/spreadsheets/d/1SX6NBoVAgQJ6U1MVXOaj8PK2l7WJ3RER9xtqwdhxkhw/edit#gid=346597447"",""สระบุรี!J563"")"),0)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IFERROR(__xludf.DUMMYFUNCTION("IMPORTRANGE(""https://docs.google.com/spreadsheets/d/1SX6NBoVAgQJ6U1MVXOaj8PK2l7WJ3RER9xtqwdhxkhw/edit#gid=346597447"",""สระบุรี!L563"")"),0)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IFERROR(__xludf.DUMMYFUNCTION("IMPORTRANGE(""https://docs.google.com/spreadsheets/d/1SX6NBoVAgQJ6U1MVXOaj8PK2l7WJ3RER9xtqwdhxkhw/edit#gid=346597447"",""สระบุรี!M563"")"),0)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IFERROR(__xludf.DUMMYFUNCTION("IMPORTRANGE(""https://docs.google.com/spreadsheets/d/1SX6NBoVAgQJ6U1MVXOaj8PK2l7WJ3RER9xtqwdhxkhw/edit#gid=346597447"",""สระบุรี!J564"")"),0)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IFERROR(__xludf.DUMMYFUNCTION("IMPORTRANGE(""https://docs.google.com/spreadsheets/d/1SX6NBoVAgQJ6U1MVXOaj8PK2l7WJ3RER9xtqwdhxkhw/edit#gid=346597447"",""สระบุรี!J565"")"),0)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IFERROR(__xludf.DUMMYFUNCTION("IMPORTRANGE(""https://docs.google.com/spreadsheets/d/1SX6NBoVAgQJ6U1MVXOaj8PK2l7WJ3RER9xtqwdhxkhw/edit#gid=346597447"",""สระบุรี!I566"")"),0)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IFERROR(__xludf.DUMMYFUNCTION("IMPORTRANGE(""https://docs.google.com/spreadsheets/d/1SX6NBoVAgQJ6U1MVXOaj8PK2l7WJ3RER9xtqwdhxkhw/edit#gid=346597447"",""สระบุรี!L566"")"),0)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IFERROR(__xludf.DUMMYFUNCTION("IMPORTRANGE(""https://docs.google.com/spreadsheets/d/1SX6NBoVAgQJ6U1MVXOaj8PK2l7WJ3RER9xtqwdhxkhw/edit#gid=346597447"",""สระบุรี!M566"")"),0)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IFERROR(__xludf.DUMMYFUNCTION("IMPORTRANGE(""https://docs.google.com/spreadsheets/d/1SX6NBoVAgQJ6U1MVXOaj8PK2l7WJ3RER9xtqwdhxkhw/edit#gid=346597447"",""สระบุรี!J567"")"),0)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IFERROR(__xludf.DUMMYFUNCTION("IMPORTRANGE(""https://docs.google.com/spreadsheets/d/1SX6NBoVAgQJ6U1MVXOaj8PK2l7WJ3RER9xtqwdhxkhw/edit#gid=346597447"",""สระบุรี!J568"")"),0)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IFERROR(__xludf.DUMMYFUNCTION("IMPORTRANGE(""https://docs.google.com/spreadsheets/d/1SX6NBoVAgQJ6U1MVXOaj8PK2l7WJ3RER9xtqwdhxkhw/edit#gid=346597447"",""สระบุรี!J569"")"),0)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IFERROR(__xludf.DUMMYFUNCTION("IMPORTRANGE(""https://docs.google.com/spreadsheets/d/1SX6NBoVAgQJ6U1MVXOaj8PK2l7WJ3RER9xtqwdhxkhw/edit#gid=346597447"",""สระบุรี!J570"")"),0)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IFERROR(__xludf.DUMMYFUNCTION("IMPORTRANGE(""https://docs.google.com/spreadsheets/d/1SX6NBoVAgQJ6U1MVXOaj8PK2l7WJ3RER9xtqwdhxkhw/edit#gid=346597447"",""สระบุรี!J571"")"),0)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IFERROR(__xludf.DUMMYFUNCTION("IMPORTRANGE(""https://docs.google.com/spreadsheets/d/1SX6NBoVAgQJ6U1MVXOaj8PK2l7WJ3RER9xtqwdhxkhw/edit#gid=346597447"",""สระบุรี!J572"")"),0)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260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7623448</v>
      </c>
      <c r="M8" s="23">
        <f t="shared" ca="1" si="0"/>
        <v>3568802.94</v>
      </c>
      <c r="N8" s="23">
        <f t="shared" ca="1" si="0"/>
        <v>3847249.5199999996</v>
      </c>
      <c r="O8" s="22">
        <f t="shared" ref="O8:O16" ca="1" si="1">IF(L8&gt;0,N8*100/L8,0)</f>
        <v>50.466003309788427</v>
      </c>
      <c r="P8" s="22">
        <f t="shared" ref="P8:P16" ca="1" si="2">IF(M8&gt;0,N8*100/M8,0)</f>
        <v>107.8022402660316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7623448</v>
      </c>
      <c r="M10" s="30">
        <f t="shared" ca="1" si="4"/>
        <v>3568802.94</v>
      </c>
      <c r="N10" s="30">
        <f t="shared" ca="1" si="4"/>
        <v>3847249.5199999996</v>
      </c>
      <c r="O10" s="29">
        <f t="shared" ca="1" si="1"/>
        <v>50.466003309788427</v>
      </c>
      <c r="P10" s="29">
        <f t="shared" ca="1" si="2"/>
        <v>107.8022402660316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7220148</v>
      </c>
      <c r="M12" s="38">
        <f t="shared" ca="1" si="6"/>
        <v>3165502.94</v>
      </c>
      <c r="N12" s="38">
        <f t="shared" ca="1" si="6"/>
        <v>3443949.5199999996</v>
      </c>
      <c r="O12" s="38">
        <f t="shared" ca="1" si="1"/>
        <v>47.699154089362146</v>
      </c>
      <c r="P12" s="38">
        <f t="shared" ca="1" si="2"/>
        <v>108.79628246372754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2470000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4750148</v>
      </c>
      <c r="M14" s="38">
        <f t="shared" si="8"/>
        <v>0</v>
      </c>
      <c r="N14" s="38">
        <f t="shared" ca="1" si="8"/>
        <v>927231.47</v>
      </c>
      <c r="O14" s="38">
        <f t="shared" ca="1" si="1"/>
        <v>19.52005432251795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403300</v>
      </c>
      <c r="M16" s="38">
        <f t="shared" ca="1" si="10"/>
        <v>403300</v>
      </c>
      <c r="N16" s="38">
        <f t="shared" ca="1" si="10"/>
        <v>403300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4389410</v>
      </c>
      <c r="M18" s="23">
        <f t="shared" ca="1" si="11"/>
        <v>3568802.94</v>
      </c>
      <c r="N18" s="23">
        <f t="shared" ca="1" si="11"/>
        <v>2920018.05</v>
      </c>
      <c r="O18" s="22">
        <f t="shared" ref="O18:O20" ca="1" si="12">IF(L18&gt;0,N18*100/L18,0)</f>
        <v>66.524158144260852</v>
      </c>
      <c r="P18" s="22">
        <f t="shared" ref="P18:P26" ca="1" si="13">IF(M18&gt;0,N18*100/M18,0)</f>
        <v>81.820658049558773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4389410</v>
      </c>
      <c r="M20" s="30">
        <f t="shared" ca="1" si="15"/>
        <v>3568802.94</v>
      </c>
      <c r="N20" s="30">
        <f t="shared" ca="1" si="15"/>
        <v>2920018.05</v>
      </c>
      <c r="O20" s="29">
        <f t="shared" ca="1" si="12"/>
        <v>66.524158144260852</v>
      </c>
      <c r="P20" s="29">
        <f t="shared" ca="1" si="13"/>
        <v>81.820658049558773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3986110</v>
      </c>
      <c r="M22" s="41">
        <f t="shared" ca="1" si="18"/>
        <v>3165502.94</v>
      </c>
      <c r="N22" s="38">
        <f t="shared" ca="1" si="18"/>
        <v>2516718.0499999998</v>
      </c>
      <c r="O22" s="38">
        <f t="shared" ca="1" si="17"/>
        <v>63.137195160193762</v>
      </c>
      <c r="P22" s="38">
        <f t="shared" ca="1" si="13"/>
        <v>79.504524168914529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2470000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403300</v>
      </c>
      <c r="M26" s="49">
        <f t="shared" ca="1" si="22"/>
        <v>403300</v>
      </c>
      <c r="N26" s="49">
        <f t="shared" ca="1" si="22"/>
        <v>403300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3234038</v>
      </c>
      <c r="M28" s="23">
        <f t="shared" si="23"/>
        <v>0</v>
      </c>
      <c r="N28" s="23">
        <f t="shared" ca="1" si="23"/>
        <v>927231.47</v>
      </c>
      <c r="O28" s="22">
        <f t="shared" ref="O28:O30" ca="1" si="24">IF(L28&gt;0,N28*100/L28,0)</f>
        <v>28.671013451295252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3234038</v>
      </c>
      <c r="M30" s="30">
        <f t="shared" si="27"/>
        <v>0</v>
      </c>
      <c r="N30" s="30">
        <f t="shared" ca="1" si="27"/>
        <v>927231.47</v>
      </c>
      <c r="O30" s="29">
        <f t="shared" ca="1" si="24"/>
        <v>28.671013451295252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3234038</v>
      </c>
      <c r="M32" s="38">
        <f t="shared" si="30"/>
        <v>0</v>
      </c>
      <c r="N32" s="38">
        <f t="shared" ca="1" si="30"/>
        <v>927231.47</v>
      </c>
      <c r="O32" s="38">
        <f t="shared" ca="1" si="29"/>
        <v>28.671013451295252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3234038</v>
      </c>
      <c r="M34" s="38">
        <f t="shared" si="32"/>
        <v>0</v>
      </c>
      <c r="N34" s="38">
        <f t="shared" ca="1" si="32"/>
        <v>927231.47</v>
      </c>
      <c r="O34" s="38">
        <f t="shared" ca="1" si="29"/>
        <v>28.671013451295252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4389410</v>
      </c>
      <c r="M37" s="54">
        <f t="shared" ca="1" si="33"/>
        <v>3568802.94</v>
      </c>
      <c r="N37" s="54">
        <f t="shared" ca="1" si="33"/>
        <v>2920018.05</v>
      </c>
      <c r="O37" s="55">
        <f t="shared" ca="1" si="29"/>
        <v>66.524158144260852</v>
      </c>
      <c r="P37" s="55">
        <f t="shared" ca="1" si="25"/>
        <v>81.820658049558773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1085100</v>
      </c>
      <c r="M41" s="78">
        <f t="shared" ca="1" si="34"/>
        <v>877900</v>
      </c>
      <c r="N41" s="78">
        <f t="shared" ca="1" si="34"/>
        <v>784633.84</v>
      </c>
      <c r="O41" s="77">
        <f t="shared" ref="O41:O43" ca="1" si="35">IF(L41&gt;0,N41*100/L41,0)</f>
        <v>72.309818449912456</v>
      </c>
      <c r="P41" s="77">
        <f t="shared" ref="P41:P43" ca="1" si="36">IF(M41&gt;0,N41*100/M41,0)</f>
        <v>89.376220526255835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1085100</v>
      </c>
      <c r="M43" s="78">
        <f t="shared" ca="1" si="38"/>
        <v>877900</v>
      </c>
      <c r="N43" s="78">
        <f t="shared" ca="1" si="38"/>
        <v>784633.84</v>
      </c>
      <c r="O43" s="77">
        <f t="shared" ca="1" si="35"/>
        <v>72.309818449912456</v>
      </c>
      <c r="P43" s="77">
        <f t="shared" ca="1" si="36"/>
        <v>89.376220526255835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989100</v>
      </c>
      <c r="M45" s="49">
        <f ca="1">IFERROR(__xludf.DUMMYFUNCTION("IMPORTRANGE(""https://docs.google.com/spreadsheets/d/1Yj_ptqi66GCucihVvJfMjLAmec39IyEx_6qawtMGysU/edit?usp=sharing"",""สบก!Q59"")"),781900)</f>
        <v>781900</v>
      </c>
      <c r="N45" s="49">
        <f ca="1">IFERROR(__xludf.DUMMYFUNCTION("IMPORTRANGE(""https://docs.google.com/spreadsheets/d/1Yj_ptqi66GCucihVvJfMjLAmec39IyEx_6qawtMGysU/edit?usp=sharing"",""สบก!R59"")"),688633.84)</f>
        <v>688633.84</v>
      </c>
      <c r="O45" s="38">
        <f ca="1">IF(L45&gt;0,N45*100/L45,0)</f>
        <v>69.622266707107471</v>
      </c>
      <c r="P45" s="38">
        <f ca="1">IF(M45&gt;0,N45*100/M45,0)</f>
        <v>88.071855736027629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IFERROR(__xludf.DUMMYFUNCTION("IMPORTRANGE(""https://docs.google.com/spreadsheets/d/1Yj_ptqi66GCucihVvJfMjLAmec39IyEx_6qawtMGysU/edit?usp=sharing"",""สบก!M59"")"),989100)</f>
        <v>989100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IFERROR(__xludf.DUMMYFUNCTION("IMPORTRANGE(""https://docs.google.com/spreadsheets/d/1Yj_ptqi66GCucihVvJfMjLAmec39IyEx_6qawtMGysU/edit?usp=sharing"",""สบก!O59"")"),96000)</f>
        <v>96000</v>
      </c>
      <c r="M49" s="49">
        <f ca="1">L49</f>
        <v>96000</v>
      </c>
      <c r="N49" s="49">
        <f ca="1">IFERROR(__xludf.DUMMYFUNCTION("IMPORTRANGE(""https://docs.google.com/spreadsheets/d/1Yj_ptqi66GCucihVvJfMjLAmec39IyEx_6qawtMGysU/edit?usp=sharing"",""สบก!S59"")"),96000)</f>
        <v>96000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487000</v>
      </c>
      <c r="M53" s="121">
        <f t="shared" ca="1" si="39"/>
        <v>393942.94</v>
      </c>
      <c r="N53" s="121">
        <f t="shared" ca="1" si="39"/>
        <v>368283</v>
      </c>
      <c r="O53" s="120">
        <f t="shared" ref="O53:O55" ca="1" si="40">IF(L53&gt;0,N53*100/L53,0)</f>
        <v>75.622792607802879</v>
      </c>
      <c r="P53" s="120">
        <f t="shared" ref="P53:P55" ca="1" si="41">IF(M53&gt;0,N53*100/M53,0)</f>
        <v>93.486381555663868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487000</v>
      </c>
      <c r="M55" s="121">
        <f t="shared" ca="1" si="43"/>
        <v>393942.94</v>
      </c>
      <c r="N55" s="121">
        <f t="shared" ca="1" si="43"/>
        <v>368283</v>
      </c>
      <c r="O55" s="120">
        <f t="shared" ca="1" si="40"/>
        <v>75.622792607802879</v>
      </c>
      <c r="P55" s="120">
        <f t="shared" ca="1" si="41"/>
        <v>93.486381555663868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487000</v>
      </c>
      <c r="M57" s="49">
        <f ca="1">IFERROR(__xludf.DUMMYFUNCTION("IMPORTRANGE(""https://docs.google.com/spreadsheets/d/1Yj_ptqi66GCucihVvJfMjLAmec39IyEx_6qawtMGysU/edit?usp=sharing"",""สบก!Z59"")"),393942.94)</f>
        <v>393942.94</v>
      </c>
      <c r="N57" s="49">
        <f ca="1">IFERROR(__xludf.DUMMYFUNCTION("IMPORTRANGE(""https://docs.google.com/spreadsheets/d/1Yj_ptqi66GCucihVvJfMjLAmec39IyEx_6qawtMGysU/edit?usp=sharing"",""สบก!AA59"")"),368283)</f>
        <v>368283</v>
      </c>
      <c r="O57" s="38">
        <f ca="1">IF(L57&gt;0,N57*100/L57,0)</f>
        <v>75.622792607802879</v>
      </c>
      <c r="P57" s="38">
        <f ca="1">IF(M57&gt;0,N57*100/M57,0)</f>
        <v>93.486381555663868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IFERROR(__xludf.DUMMYFUNCTION("IMPORTRANGE(""https://docs.google.com/spreadsheets/d/1Yj_ptqi66GCucihVvJfMjLAmec39IyEx_6qawtMGysU/edit?usp=sharing"",""สบก!V59"")"),487000)</f>
        <v>487000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IFERROR(__xludf.DUMMYFUNCTION("IMPORTRANGE(""https://docs.google.com/spreadsheets/d/1Yj_ptqi66GCucihVvJfMjLAmec39IyEx_6qawtMGysU/edit?usp=sharing"",""สบก!AI59"")"),0)</f>
        <v>0</v>
      </c>
      <c r="N70" s="169">
        <f ca="1">IFERROR(__xludf.DUMMYFUNCTION("IMPORTRANGE(""https://docs.google.com/spreadsheets/d/1Yj_ptqi66GCucihVvJfMjLAmec39IyEx_6qawtMGysU/edit?usp=sharing"",""สบก!AJ59"")"),0)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IFERROR(__xludf.DUMMYFUNCTION("IMPORTRANGE(""https://docs.google.com/spreadsheets/d/1SX6NBoVAgQJ6U1MVXOaj8PK2l7WJ3RER9xtqwdhxkhw/edit?usp=sharing"",""กาญจนบุรี!J16"")"),0)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IFERROR(__xludf.DUMMYFUNCTION("IMPORTRANGE(""https://docs.google.com/spreadsheets/d/1SX6NBoVAgQJ6U1MVXOaj8PK2l7WJ3RER9xtqwdhxkhw/edit?usp=sharing"",""กาญจนบุรี!J17"")"),0)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IFERROR(__xludf.DUMMYFUNCTION("IMPORTRANGE(""https://docs.google.com/spreadsheets/d/1SX6NBoVAgQJ6U1MVXOaj8PK2l7WJ3RER9xtqwdhxkhw/edit?usp=sharing"",""กาญจนบุรี!J18"")"),0)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IFERROR(__xludf.DUMMYFUNCTION("IMPORTRANGE(""https://docs.google.com/spreadsheets/d/1SX6NBoVAgQJ6U1MVXOaj8PK2l7WJ3RER9xtqwdhxkhw/edit?usp=sharing"",""กาญจนบุรี!J19"")"),0)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IFERROR(__xludf.DUMMYFUNCTION("IMPORTRANGE(""https://docs.google.com/spreadsheets/d/1SX6NBoVAgQJ6U1MVXOaj8PK2l7WJ3RER9xtqwdhxkhw/edit?usp=sharing"",""กาญจนบุรี!I20"")"),0)</f>
        <v>0</v>
      </c>
      <c r="J80" s="201">
        <f ca="1">IFERROR(__xludf.DUMMYFUNCTION("IMPORTRANGE(""https://docs.google.com/spreadsheets/d/1SX6NBoVAgQJ6U1MVXOaj8PK2l7WJ3RER9xtqwdhxkhw/edit?usp=sharing"",""กาญจนบุรี!J20"")"),0)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IFERROR(__xludf.DUMMYFUNCTION("IMPORTRANGE(""https://docs.google.com/spreadsheets/d/1SX6NBoVAgQJ6U1MVXOaj8PK2l7WJ3RER9xtqwdhxkhw/edit?usp=sharing"",""กาญจนบุรี!I21"")"),0)</f>
        <v>0</v>
      </c>
      <c r="J81" s="201">
        <f ca="1">IFERROR(__xludf.DUMMYFUNCTION("IMPORTRANGE(""https://docs.google.com/spreadsheets/d/1SX6NBoVAgQJ6U1MVXOaj8PK2l7WJ3RER9xtqwdhxkhw/edit?usp=sharing"",""กาญจนบุรี!J21"")"),0)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IFERROR(__xludf.DUMMYFUNCTION("IMPORTRANGE(""https://docs.google.com/spreadsheets/d/1SX6NBoVAgQJ6U1MVXOaj8PK2l7WJ3RER9xtqwdhxkhw/edit?usp=sharing"",""กาญจนบุรี!I22"")"),0)</f>
        <v>0</v>
      </c>
      <c r="J82" s="204">
        <f ca="1">IFERROR(__xludf.DUMMYFUNCTION("IMPORTRANGE(""https://docs.google.com/spreadsheets/d/1SX6NBoVAgQJ6U1MVXOaj8PK2l7WJ3RER9xtqwdhxkhw/edit?usp=sharing"",""กาญจนบุรี!J22"")"),0)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IFERROR(__xludf.DUMMYFUNCTION("IMPORTRANGE(""https://docs.google.com/spreadsheets/d/1SX6NBoVAgQJ6U1MVXOaj8PK2l7WJ3RER9xtqwdhxkhw/edit?usp=sharing"",""กาญจนบุรี!I23"")"),0)</f>
        <v>0</v>
      </c>
      <c r="J83" s="204">
        <f ca="1">IFERROR(__xludf.DUMMYFUNCTION("IMPORTRANGE(""https://docs.google.com/spreadsheets/d/1SX6NBoVAgQJ6U1MVXOaj8PK2l7WJ3RER9xtqwdhxkhw/edit?usp=sharing"",""กาญจนบุรี!J23"")"),0)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IFERROR(__xludf.DUMMYFUNCTION("IMPORTRANGE(""https://docs.google.com/spreadsheets/d/1SX6NBoVAgQJ6U1MVXOaj8PK2l7WJ3RER9xtqwdhxkhw/edit?usp=sharing"",""กาญจนบุรี!I24"")"),0)</f>
        <v>0</v>
      </c>
      <c r="J84" s="189">
        <f ca="1">IFERROR(__xludf.DUMMYFUNCTION("IMPORTRANGE(""https://docs.google.com/spreadsheets/d/1SX6NBoVAgQJ6U1MVXOaj8PK2l7WJ3RER9xtqwdhxkhw/edit?usp=sharing"",""กาญจนบุรี!J24"")"),0)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IFERROR(__xludf.DUMMYFUNCTION("IMPORTRANGE(""https://docs.google.com/spreadsheets/d/1SX6NBoVAgQJ6U1MVXOaj8PK2l7WJ3RER9xtqwdhxkhw/edit?usp=sharing"",""กาญจนบุรี!I25"")"),0)</f>
        <v>0</v>
      </c>
      <c r="J85" s="189">
        <f ca="1">IFERROR(__xludf.DUMMYFUNCTION("IMPORTRANGE(""https://docs.google.com/spreadsheets/d/1SX6NBoVAgQJ6U1MVXOaj8PK2l7WJ3RER9xtqwdhxkhw/edit?usp=sharing"",""กาญจนบุรี!J25"")"),0)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IFERROR(__xludf.DUMMYFUNCTION("IMPORTRANGE(""https://docs.google.com/spreadsheets/d/1SX6NBoVAgQJ6U1MVXOaj8PK2l7WJ3RER9xtqwdhxkhw/edit?usp=sharing"",""กาญจนบุรี!I26"")"),0)</f>
        <v>0</v>
      </c>
      <c r="J86" s="204">
        <f ca="1">IFERROR(__xludf.DUMMYFUNCTION("IMPORTRANGE(""https://docs.google.com/spreadsheets/d/1SX6NBoVAgQJ6U1MVXOaj8PK2l7WJ3RER9xtqwdhxkhw/edit?usp=sharing"",""กาญจนบุรี!J26"")"),0)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IFERROR(__xludf.DUMMYFUNCTION("IMPORTRANGE(""https://docs.google.com/spreadsheets/d/1SX6NBoVAgQJ6U1MVXOaj8PK2l7WJ3RER9xtqwdhxkhw/edit?usp=sharing"",""กาญจนบุรี!I27"")"),0)</f>
        <v>0</v>
      </c>
      <c r="J87" s="204">
        <f ca="1">IFERROR(__xludf.DUMMYFUNCTION("IMPORTRANGE(""https://docs.google.com/spreadsheets/d/1SX6NBoVAgQJ6U1MVXOaj8PK2l7WJ3RER9xtqwdhxkhw/edit?usp=sharing"",""กาญจนบุรี!J27"")"),0)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IFERROR(__xludf.DUMMYFUNCTION("IMPORTRANGE(""https://docs.google.com/spreadsheets/d/1SX6NBoVAgQJ6U1MVXOaj8PK2l7WJ3RER9xtqwdhxkhw/edit?usp=sharing"",""กาญจนบุรี!I28"")"),0)</f>
        <v>0</v>
      </c>
      <c r="J88" s="204">
        <f ca="1">IFERROR(__xludf.DUMMYFUNCTION("IMPORTRANGE(""https://docs.google.com/spreadsheets/d/1SX6NBoVAgQJ6U1MVXOaj8PK2l7WJ3RER9xtqwdhxkhw/edit?usp=sharing"",""กาญจนบุรี!J28"")"),0)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IFERROR(__xludf.DUMMYFUNCTION("IMPORTRANGE(""https://docs.google.com/spreadsheets/d/1SX6NBoVAgQJ6U1MVXOaj8PK2l7WJ3RER9xtqwdhxkhw/edit?usp=sharing"",""กาญจนบุรี!J29"")"),0)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IFERROR(__xludf.DUMMYFUNCTION("IMPORTRANGE(""https://docs.google.com/spreadsheets/d/1SX6NBoVAgQJ6U1MVXOaj8PK2l7WJ3RER9xtqwdhxkhw/edit?usp=sharing"",""กาญจนบุรี!J30"")"),0)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298915</v>
      </c>
      <c r="N94" s="152">
        <f t="shared" ca="1" si="52"/>
        <v>194502</v>
      </c>
      <c r="O94" s="151">
        <f t="shared" ref="O94:O96" ca="1" si="53">IF(L94&gt;0,N94*100/L94,0)</f>
        <v>60.980060195635815</v>
      </c>
      <c r="P94" s="151">
        <f t="shared" ref="P94:P96" ca="1" si="54">IF(M94&gt;0,N94*100/M94,0)</f>
        <v>65.069334091631404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318960</v>
      </c>
      <c r="M96" s="157">
        <f t="shared" ca="1" si="56"/>
        <v>298915</v>
      </c>
      <c r="N96" s="157">
        <f t="shared" ca="1" si="56"/>
        <v>194502</v>
      </c>
      <c r="O96" s="156">
        <f t="shared" ca="1" si="53"/>
        <v>60.980060195635815</v>
      </c>
      <c r="P96" s="156">
        <f t="shared" ca="1" si="54"/>
        <v>65.069334091631404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134160</v>
      </c>
      <c r="M98" s="168">
        <f ca="1">IFERROR(__xludf.DUMMYFUNCTION("IMPORTRANGE(""https://docs.google.com/spreadsheets/d/1Yj_ptqi66GCucihVvJfMjLAmec39IyEx_6qawtMGysU/edit?usp=sharing"",""สบก!AR59"")"),114115)</f>
        <v>114115</v>
      </c>
      <c r="N98" s="169">
        <f ca="1">IFERROR(__xludf.DUMMYFUNCTION("IMPORTRANGE(""https://docs.google.com/spreadsheets/d/1Yj_ptqi66GCucihVvJfMjLAmec39IyEx_6qawtMGysU/edit?usp=sharing"",""สบก!AS59"")"),9702)</f>
        <v>9702</v>
      </c>
      <c r="O98" s="169">
        <f ca="1">IF(L98&gt;0,N98*100/L98,0)</f>
        <v>7.231663685152057</v>
      </c>
      <c r="P98" s="169">
        <f ca="1">IF(M98&gt;0,N98*100/M98,0)</f>
        <v>8.5019497874950716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IFERROR(__xludf.DUMMYFUNCTION("IMPORTRANGE(""https://docs.google.com/spreadsheets/d/1Yj_ptqi66GCucihVvJfMjLAmec39IyEx_6qawtMGysU/edit?usp=sharing"",""สบก!AO59"")"),134160)</f>
        <v>134160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IFERROR(__xludf.DUMMYFUNCTION("IMPORTRANGE(""https://docs.google.com/spreadsheets/d/1SX6NBoVAgQJ6U1MVXOaj8PK2l7WJ3RER9xtqwdhxkhw/edit?usp=sharing"",""กาญจนบุรี!J39"")"),0)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IFERROR(__xludf.DUMMYFUNCTION("IMPORTRANGE(""https://docs.google.com/spreadsheets/d/1SX6NBoVAgQJ6U1MVXOaj8PK2l7WJ3RER9xtqwdhxkhw/edit?usp=sharing"",""กาญจนบุรี!J40"")"),1)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IFERROR(__xludf.DUMMYFUNCTION("IMPORTRANGE(""https://docs.google.com/spreadsheets/d/1SX6NBoVAgQJ6U1MVXOaj8PK2l7WJ3RER9xtqwdhxkhw/edit?usp=sharing"",""กาญจนบุรี!J41"")"),1)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IFERROR(__xludf.DUMMYFUNCTION("IMPORTRANGE(""https://docs.google.com/spreadsheets/d/1SX6NBoVAgQJ6U1MVXOaj8PK2l7WJ3RER9xtqwdhxkhw/edit?usp=sharing"",""กาญจนบุรี!J42"")"),1)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IFERROR(__xludf.DUMMYFUNCTION("IMPORTRANGE(""https://docs.google.com/spreadsheets/d/1SX6NBoVAgQJ6U1MVXOaj8PK2l7WJ3RER9xtqwdhxkhw/edit?usp=sharing"",""กาญจนบุรี!I43"")"),1)</f>
        <v>1</v>
      </c>
      <c r="J108" s="204">
        <f ca="1">IFERROR(__xludf.DUMMYFUNCTION("IMPORTRANGE(""https://docs.google.com/spreadsheets/d/1SX6NBoVAgQJ6U1MVXOaj8PK2l7WJ3RER9xtqwdhxkhw/edit?usp=sharing"",""กาญจนบุรี!J43"")"),1)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IFERROR(__xludf.DUMMYFUNCTION("IMPORTRANGE(""https://docs.google.com/spreadsheets/d/1SX6NBoVAgQJ6U1MVXOaj8PK2l7WJ3RER9xtqwdhxkhw/edit?usp=sharing"",""กาญจนบุรี!I44"")"),7)</f>
        <v>7</v>
      </c>
      <c r="J109" s="204">
        <f ca="1">IFERROR(__xludf.DUMMYFUNCTION("IMPORTRANGE(""https://docs.google.com/spreadsheets/d/1SX6NBoVAgQJ6U1MVXOaj8PK2l7WJ3RER9xtqwdhxkhw/edit?usp=sharing"",""กาญจนบุรี!J44"")"),0)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IFERROR(__xludf.DUMMYFUNCTION("IMPORTRANGE(""https://docs.google.com/spreadsheets/d/1SX6NBoVAgQJ6U1MVXOaj8PK2l7WJ3RER9xtqwdhxkhw/edit?usp=sharing"",""กาญจนบุรี!I45"")"),7)</f>
        <v>7</v>
      </c>
      <c r="J110" s="204">
        <f ca="1">IFERROR(__xludf.DUMMYFUNCTION("IMPORTRANGE(""https://docs.google.com/spreadsheets/d/1SX6NBoVAgQJ6U1MVXOaj8PK2l7WJ3RER9xtqwdhxkhw/edit?usp=sharing"",""กาญจนบุรี!J45"")"),7)</f>
        <v>7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IFERROR(__xludf.DUMMYFUNCTION("IMPORTRANGE(""https://docs.google.com/spreadsheets/d/1SX6NBoVAgQJ6U1MVXOaj8PK2l7WJ3RER9xtqwdhxkhw/edit?usp=sharing"",""กาญจนบุรี!I46"")"),7)</f>
        <v>7</v>
      </c>
      <c r="J111" s="204">
        <f ca="1">IFERROR(__xludf.DUMMYFUNCTION("IMPORTRANGE(""https://docs.google.com/spreadsheets/d/1SX6NBoVAgQJ6U1MVXOaj8PK2l7WJ3RER9xtqwdhxkhw/edit?usp=sharing"",""กาญจนบุรี!J46"")"),0)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IFERROR(__xludf.DUMMYFUNCTION("IMPORTRANGE(""https://docs.google.com/spreadsheets/d/1SX6NBoVAgQJ6U1MVXOaj8PK2l7WJ3RER9xtqwdhxkhw/edit?usp=sharing"",""กาญจนบุรี!I47"")"),7)</f>
        <v>7</v>
      </c>
      <c r="J112" s="204">
        <f ca="1">IFERROR(__xludf.DUMMYFUNCTION("IMPORTRANGE(""https://docs.google.com/spreadsheets/d/1SX6NBoVAgQJ6U1MVXOaj8PK2l7WJ3RER9xtqwdhxkhw/edit?usp=sharing"",""กาญจนบุรี!J47"")"),7)</f>
        <v>7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IFERROR(__xludf.DUMMYFUNCTION("IMPORTRANGE(""https://docs.google.com/spreadsheets/d/1SX6NBoVAgQJ6U1MVXOaj8PK2l7WJ3RER9xtqwdhxkhw/edit?usp=sharing"",""กาญจนบุรี!I48"")"),2)</f>
        <v>2</v>
      </c>
      <c r="J113" s="204">
        <f ca="1">IFERROR(__xludf.DUMMYFUNCTION("IMPORTRANGE(""https://docs.google.com/spreadsheets/d/1SX6NBoVAgQJ6U1MVXOaj8PK2l7WJ3RER9xtqwdhxkhw/edit?usp=sharing"",""กาญจนบุรี!J48"")"),2)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IFERROR(__xludf.DUMMYFUNCTION("IMPORTRANGE(""https://docs.google.com/spreadsheets/d/1SX6NBoVAgQJ6U1MVXOaj8PK2l7WJ3RER9xtqwdhxkhw/edit?usp=sharing"",""กาญจนบุรี!J49"")"),0)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IFERROR(__xludf.DUMMYFUNCTION("IMPORTRANGE(""https://docs.google.com/spreadsheets/d/1SX6NBoVAgQJ6U1MVXOaj8PK2l7WJ3RER9xtqwdhxkhw/edit?usp=sharing"",""กาญจนบุรี!J50"")"),0)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41600</v>
      </c>
      <c r="O118" s="151">
        <f t="shared" ref="O118:O120" ca="1" si="59">IF(L118&gt;0,N118*100/L118,0)</f>
        <v>50.460941290635617</v>
      </c>
      <c r="P118" s="151">
        <f t="shared" ref="P118:P120" ca="1" si="60">IF(M118&gt;0,N118*100/M118,0)</f>
        <v>50.460941290635617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41600</v>
      </c>
      <c r="O120" s="156">
        <f t="shared" ca="1" si="59"/>
        <v>50.460941290635617</v>
      </c>
      <c r="P120" s="156">
        <f t="shared" ca="1" si="60"/>
        <v>50.460941290635617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IFERROR(__xludf.DUMMYFUNCTION("IMPORTRANGE(""https://docs.google.com/spreadsheets/d/1Yj_ptqi66GCucihVvJfMjLAmec39IyEx_6qawtMGysU/edit?usp=sharing"",""สบก!BA59"")"),82440)</f>
        <v>82440</v>
      </c>
      <c r="N122" s="169">
        <f ca="1">IFERROR(__xludf.DUMMYFUNCTION("IMPORTRANGE(""https://docs.google.com/spreadsheets/d/1Yj_ptqi66GCucihVvJfMjLAmec39IyEx_6qawtMGysU/edit?usp=sharing"",""สบก!BB59"")"),41600)</f>
        <v>41600</v>
      </c>
      <c r="O122" s="169">
        <f ca="1">IF(L122&gt;0,N122*100/L122,0)</f>
        <v>50.460941290635617</v>
      </c>
      <c r="P122" s="169">
        <f ca="1">IF(M122&gt;0,N122*100/M122,0)</f>
        <v>50.460941290635617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IFERROR(__xludf.DUMMYFUNCTION("IMPORTRANGE(""https://docs.google.com/spreadsheets/d/1Yj_ptqi66GCucihVvJfMjLAmec39IyEx_6qawtMGysU/edit?usp=sharing"",""สบก!AX59"")"),82440)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IFERROR(__xludf.DUMMYFUNCTION("IMPORTRANGE(""https://docs.google.com/spreadsheets/d/1SX6NBoVAgQJ6U1MVXOaj8PK2l7WJ3RER9xtqwdhxkhw/edit?usp=sharing"",""กาญจนบุรี!J58"")"),0)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IFERROR(__xludf.DUMMYFUNCTION("IMPORTRANGE(""https://docs.google.com/spreadsheets/d/1SX6NBoVAgQJ6U1MVXOaj8PK2l7WJ3RER9xtqwdhxkhw/edit?usp=sharing"",""กาญจนบุรี!J59"")"),1)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IFERROR(__xludf.DUMMYFUNCTION("IMPORTRANGE(""https://docs.google.com/spreadsheets/d/1SX6NBoVAgQJ6U1MVXOaj8PK2l7WJ3RER9xtqwdhxkhw/edit?usp=sharing"",""กาญจนบุรี!J60"")"),1)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IFERROR(__xludf.DUMMYFUNCTION("IMPORTRANGE(""https://docs.google.com/spreadsheets/d/1SX6NBoVAgQJ6U1MVXOaj8PK2l7WJ3RER9xtqwdhxkhw/edit?usp=sharing"",""กาญจนบุรี!J61"")"),1)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IFERROR(__xludf.DUMMYFUNCTION("IMPORTRANGE(""https://docs.google.com/spreadsheets/d/1SX6NBoVAgQJ6U1MVXOaj8PK2l7WJ3RER9xtqwdhxkhw/edit?usp=sharing"",""กาญจนบุรี!I62"")"),20)</f>
        <v>20</v>
      </c>
      <c r="J132" s="204">
        <f ca="1">IFERROR(__xludf.DUMMYFUNCTION("IMPORTRANGE(""https://docs.google.com/spreadsheets/d/1SX6NBoVAgQJ6U1MVXOaj8PK2l7WJ3RER9xtqwdhxkhw/edit?usp=sharing"",""กาญจนบุรี!J62"")"),20)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IFERROR(__xludf.DUMMYFUNCTION("IMPORTRANGE(""https://docs.google.com/spreadsheets/d/1SX6NBoVAgQJ6U1MVXOaj8PK2l7WJ3RER9xtqwdhxkhw/edit?usp=sharing"",""กาญจนบุรี!I63"")"),20)</f>
        <v>20</v>
      </c>
      <c r="J133" s="204">
        <f ca="1">IFERROR(__xludf.DUMMYFUNCTION("IMPORTRANGE(""https://docs.google.com/spreadsheets/d/1SX6NBoVAgQJ6U1MVXOaj8PK2l7WJ3RER9xtqwdhxkhw/edit?usp=sharing"",""กาญจนบุรี!J63"")"),20)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IFERROR(__xludf.DUMMYFUNCTION("IMPORTRANGE(""https://docs.google.com/spreadsheets/d/1SX6NBoVAgQJ6U1MVXOaj8PK2l7WJ3RER9xtqwdhxkhw/edit?usp=sharing"",""กาญจนบุรี!J64"")"),0)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IFERROR(__xludf.DUMMYFUNCTION("IMPORTRANGE(""https://docs.google.com/spreadsheets/d/1SX6NBoVAgQJ6U1MVXOaj8PK2l7WJ3RER9xtqwdhxkhw/edit?usp=sharing"",""กาญจนบุรี!J65"")"),0)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IFERROR(__xludf.DUMMYFUNCTION("IMPORTRANGE(""https://docs.google.com/spreadsheets/d/1SX6NBoVAgQJ6U1MVXOaj8PK2l7WJ3RER9xtqwdhxkhw/edit?usp=sharing"",""กาญจนบุรี!I68"")"),30)</f>
        <v>30</v>
      </c>
      <c r="J138" s="268">
        <f ca="1">IFERROR(__xludf.DUMMYFUNCTION("IMPORTRANGE(""https://docs.google.com/spreadsheets/d/1SX6NBoVAgQJ6U1MVXOaj8PK2l7WJ3RER9xtqwdhxkhw/edit?usp=sharing"",""กาญจนบุรี!J68"")"),30)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647600</v>
      </c>
      <c r="M140" s="152">
        <f t="shared" ca="1" si="64"/>
        <v>528725</v>
      </c>
      <c r="N140" s="152">
        <f t="shared" ca="1" si="64"/>
        <v>424515.83</v>
      </c>
      <c r="O140" s="151">
        <f t="shared" ref="O140:O142" ca="1" si="65">IF(L140&gt;0,N140*100/L140,0)</f>
        <v>65.552166460778253</v>
      </c>
      <c r="P140" s="151">
        <f t="shared" ref="P140:P142" ca="1" si="66">IF(M140&gt;0,N140*100/M140,0)</f>
        <v>80.29047803678661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647600</v>
      </c>
      <c r="M142" s="157">
        <f t="shared" ca="1" si="68"/>
        <v>528725</v>
      </c>
      <c r="N142" s="157">
        <f t="shared" ca="1" si="68"/>
        <v>424515.83</v>
      </c>
      <c r="O142" s="156">
        <f t="shared" ca="1" si="65"/>
        <v>65.552166460778253</v>
      </c>
      <c r="P142" s="156">
        <f t="shared" ca="1" si="66"/>
        <v>80.29047803678661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647600</v>
      </c>
      <c r="M144" s="168">
        <f ca="1">IFERROR(__xludf.DUMMYFUNCTION("IMPORTRANGE(""https://docs.google.com/spreadsheets/d/1Yj_ptqi66GCucihVvJfMjLAmec39IyEx_6qawtMGysU/edit?usp=sharing"",""สบก!BJ59"")"),528725)</f>
        <v>528725</v>
      </c>
      <c r="N144" s="169">
        <f ca="1">IFERROR(__xludf.DUMMYFUNCTION("IMPORTRANGE(""https://docs.google.com/spreadsheets/d/1Yj_ptqi66GCucihVvJfMjLAmec39IyEx_6qawtMGysU/edit?usp=sharing"",""สบก!BK59"")"),424515.83)</f>
        <v>424515.83</v>
      </c>
      <c r="O144" s="169">
        <f ca="1">IF(L144&gt;0,N144*100/L144,0)</f>
        <v>65.552166460778253</v>
      </c>
      <c r="P144" s="169">
        <f ca="1">IF(M144&gt;0,N144*100/M144,0)</f>
        <v>80.29047803678661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IFERROR(__xludf.DUMMYFUNCTION("IMPORTRANGE(""https://docs.google.com/spreadsheets/d/1Yj_ptqi66GCucihVvJfMjLAmec39IyEx_6qawtMGysU/edit?usp=sharing"",""สบก!BF59"")"),364700)</f>
        <v>364700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IFERROR(__xludf.DUMMYFUNCTION("IMPORTRANGE(""https://docs.google.com/spreadsheets/d/1Yj_ptqi66GCucihVvJfMjLAmec39IyEx_6qawtMGysU/edit?usp=sharing"",""สบก!BG59"")"),282900)</f>
        <v>282900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IFERROR(__xludf.DUMMYFUNCTION("IMPORTRANGE(""https://docs.google.com/spreadsheets/d/1SX6NBoVAgQJ6U1MVXOaj8PK2l7WJ3RER9xtqwdhxkhw/edit?usp=sharing"",""กาญจนบุรี!I74"")"),4)</f>
        <v>4</v>
      </c>
      <c r="J149" s="276">
        <f ca="1">IFERROR(__xludf.DUMMYFUNCTION("IMPORTRANGE(""https://docs.google.com/spreadsheets/d/1SX6NBoVAgQJ6U1MVXOaj8PK2l7WJ3RER9xtqwdhxkhw/edit?usp=sharing"",""กาญจนบุรี!J74"")"),2)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IFERROR(__xludf.DUMMYFUNCTION("IMPORTRANGE(""https://docs.google.com/spreadsheets/d/1SX6NBoVAgQJ6U1MVXOaj8PK2l7WJ3RER9xtqwdhxkhw/edit?usp=sharing"",""กาญจนบุรี!J79"")"),0)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IFERROR(__xludf.DUMMYFUNCTION("IMPORTRANGE(""https://docs.google.com/spreadsheets/d/1SX6NBoVAgQJ6U1MVXOaj8PK2l7WJ3RER9xtqwdhxkhw/edit?usp=sharing"",""กาญจนบุรี!J80"")"),1)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IFERROR(__xludf.DUMMYFUNCTION("IMPORTRANGE(""https://docs.google.com/spreadsheets/d/1SX6NBoVAgQJ6U1MVXOaj8PK2l7WJ3RER9xtqwdhxkhw/edit?usp=sharing"",""กาญจนบุรี!J81"")"),1)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IFERROR(__xludf.DUMMYFUNCTION("IMPORTRANGE(""https://docs.google.com/spreadsheets/d/1SX6NBoVAgQJ6U1MVXOaj8PK2l7WJ3RER9xtqwdhxkhw/edit?usp=sharing"",""กาญจนบุรี!J82"")"),1)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IFERROR(__xludf.DUMMYFUNCTION("IMPORTRANGE(""https://docs.google.com/spreadsheets/d/1SX6NBoVAgQJ6U1MVXOaj8PK2l7WJ3RER9xtqwdhxkhw/edit?usp=sharing"",""กาญจนบุรี!I83"")"),4)</f>
        <v>4</v>
      </c>
      <c r="J158" s="189">
        <f ca="1">IFERROR(__xludf.DUMMYFUNCTION("IMPORTRANGE(""https://docs.google.com/spreadsheets/d/1SX6NBoVAgQJ6U1MVXOaj8PK2l7WJ3RER9xtqwdhxkhw/edit?usp=sharing"",""กาญจนบุรี!J83"")"),2)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IFERROR(__xludf.DUMMYFUNCTION("IMPORTRANGE(""https://docs.google.com/spreadsheets/d/1SX6NBoVAgQJ6U1MVXOaj8PK2l7WJ3RER9xtqwdhxkhw/edit?usp=sharing"",""กาญจนบุรี!J84"")"),40)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IFERROR(__xludf.DUMMYFUNCTION("IMPORTRANGE(""https://docs.google.com/spreadsheets/d/1SX6NBoVAgQJ6U1MVXOaj8PK2l7WJ3RER9xtqwdhxkhw/edit?usp=sharing"",""กาญจนบุรี!J85"")"),40)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IFERROR(__xludf.DUMMYFUNCTION("IMPORTRANGE(""https://docs.google.com/spreadsheets/d/1SX6NBoVAgQJ6U1MVXOaj8PK2l7WJ3RER9xtqwdhxkhw/edit?usp=sharing"",""กาญจนบุรี!J86"")"),0)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IFERROR(__xludf.DUMMYFUNCTION("IMPORTRANGE(""https://docs.google.com/spreadsheets/d/1SX6NBoVAgQJ6U1MVXOaj8PK2l7WJ3RER9xtqwdhxkhw/edit?usp=sharing"",""กาญจนบุรี!J87"")"),0)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IFERROR(__xludf.DUMMYFUNCTION("IMPORTRANGE(""https://docs.google.com/spreadsheets/d/1SX6NBoVAgQJ6U1MVXOaj8PK2l7WJ3RER9xtqwdhxkhw/edit?usp=sharing"",""กาญจนบุรี!J88"")"),0)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IFERROR(__xludf.DUMMYFUNCTION("IMPORTRANGE(""https://docs.google.com/spreadsheets/d/1SX6NBoVAgQJ6U1MVXOaj8PK2l7WJ3RER9xtqwdhxkhw/edit?usp=sharing"",""กาญจนบุรี!I89"")"),4)</f>
        <v>4</v>
      </c>
      <c r="J164" s="285">
        <f ca="1">IFERROR(__xludf.DUMMYFUNCTION("IMPORTRANGE(""https://docs.google.com/spreadsheets/d/1SX6NBoVAgQJ6U1MVXOaj8PK2l7WJ3RER9xtqwdhxkhw/edit?usp=sharing"",""กาญจนบุรี!J89"")"),4)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IFERROR(__xludf.DUMMYFUNCTION("IMPORTRANGE(""https://docs.google.com/spreadsheets/d/1SX6NBoVAgQJ6U1MVXOaj8PK2l7WJ3RER9xtqwdhxkhw/edit?usp=sharing"",""กาญจนบุรี!J94"")"),0)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IFERROR(__xludf.DUMMYFUNCTION("IMPORTRANGE(""https://docs.google.com/spreadsheets/d/1SX6NBoVAgQJ6U1MVXOaj8PK2l7WJ3RER9xtqwdhxkhw/edit?usp=sharing"",""กาญจนบุรี!J95"")"),1)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IFERROR(__xludf.DUMMYFUNCTION("IMPORTRANGE(""https://docs.google.com/spreadsheets/d/1SX6NBoVAgQJ6U1MVXOaj8PK2l7WJ3RER9xtqwdhxkhw/edit?usp=sharing"",""กาญจนบุรี!J96"")"),1)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IFERROR(__xludf.DUMMYFUNCTION("IMPORTRANGE(""https://docs.google.com/spreadsheets/d/1SX6NBoVAgQJ6U1MVXOaj8PK2l7WJ3RER9xtqwdhxkhw/edit?usp=sharing"",""กาญจนบุรี!J97"")"),1)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IFERROR(__xludf.DUMMYFUNCTION("IMPORTRANGE(""https://docs.google.com/spreadsheets/d/1SX6NBoVAgQJ6U1MVXOaj8PK2l7WJ3RER9xtqwdhxkhw/edit?usp=sharing"",""กาญจนบุรี!I98"")"),4)</f>
        <v>4</v>
      </c>
      <c r="J173" s="189">
        <f ca="1">IFERROR(__xludf.DUMMYFUNCTION("IMPORTRANGE(""https://docs.google.com/spreadsheets/d/1SX6NBoVAgQJ6U1MVXOaj8PK2l7WJ3RER9xtqwdhxkhw/edit?usp=sharing"",""กาญจนบุรี!J98"")"),4)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IFERROR(__xludf.DUMMYFUNCTION("IMPORTRANGE(""https://docs.google.com/spreadsheets/d/1SX6NBoVAgQJ6U1MVXOaj8PK2l7WJ3RER9xtqwdhxkhw/edit?usp=sharing"",""กาญจนบุรี!J99"")"),0)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IFERROR(__xludf.DUMMYFUNCTION("IMPORTRANGE(""https://docs.google.com/spreadsheets/d/1SX6NBoVAgQJ6U1MVXOaj8PK2l7WJ3RER9xtqwdhxkhw/edit?usp=sharing"",""กาญจนบุรี!J100"")"),0)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IFERROR(__xludf.DUMMYFUNCTION("IMPORTRANGE(""https://docs.google.com/spreadsheets/d/1SX6NBoVAgQJ6U1MVXOaj8PK2l7WJ3RER9xtqwdhxkhw/edit?usp=sharing"",""กาญจนบุรี!I101"")"),6)</f>
        <v>6</v>
      </c>
      <c r="J176" s="285">
        <f ca="1">IFERROR(__xludf.DUMMYFUNCTION("IMPORTRANGE(""https://docs.google.com/spreadsheets/d/1SX6NBoVAgQJ6U1MVXOaj8PK2l7WJ3RER9xtqwdhxkhw/edit?usp=sharing"",""กาญจนบุรี!J101"")"),6)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IFERROR(__xludf.DUMMYFUNCTION("IMPORTRANGE(""https://docs.google.com/spreadsheets/d/1SX6NBoVAgQJ6U1MVXOaj8PK2l7WJ3RER9xtqwdhxkhw/edit?usp=sharing"",""กาญจนบุรี!J106"")"),0)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IFERROR(__xludf.DUMMYFUNCTION("IMPORTRANGE(""https://docs.google.com/spreadsheets/d/1SX6NBoVAgQJ6U1MVXOaj8PK2l7WJ3RER9xtqwdhxkhw/edit?usp=sharing"",""กาญจนบุรี!J107"")"),1)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IFERROR(__xludf.DUMMYFUNCTION("IMPORTRANGE(""https://docs.google.com/spreadsheets/d/1SX6NBoVAgQJ6U1MVXOaj8PK2l7WJ3RER9xtqwdhxkhw/edit?usp=sharing"",""กาญจนบุรี!J108"")"),1)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IFERROR(__xludf.DUMMYFUNCTION("IMPORTRANGE(""https://docs.google.com/spreadsheets/d/1SX6NBoVAgQJ6U1MVXOaj8PK2l7WJ3RER9xtqwdhxkhw/edit?usp=sharing"",""กาญจนบุรี!J109"")"),1)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IFERROR(__xludf.DUMMYFUNCTION("IMPORTRANGE(""https://docs.google.com/spreadsheets/d/1SX6NBoVAgQJ6U1MVXOaj8PK2l7WJ3RER9xtqwdhxkhw/edit?usp=sharing"",""กาญจนบุรี!I110"")"),6)</f>
        <v>6</v>
      </c>
      <c r="J185" s="204">
        <f ca="1">IFERROR(__xludf.DUMMYFUNCTION("IMPORTRANGE(""https://docs.google.com/spreadsheets/d/1SX6NBoVAgQJ6U1MVXOaj8PK2l7WJ3RER9xtqwdhxkhw/edit?usp=sharing"",""กาญจนบุรี!J110"")"),0)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IFERROR(__xludf.DUMMYFUNCTION("IMPORTRANGE(""https://docs.google.com/spreadsheets/d/1SX6NBoVAgQJ6U1MVXOaj8PK2l7WJ3RER9xtqwdhxkhw/edit?usp=sharing"",""กาญจนบุรี!I111"")"),6)</f>
        <v>6</v>
      </c>
      <c r="J186" s="204">
        <f ca="1">IFERROR(__xludf.DUMMYFUNCTION("IMPORTRANGE(""https://docs.google.com/spreadsheets/d/1SX6NBoVAgQJ6U1MVXOaj8PK2l7WJ3RER9xtqwdhxkhw/edit?usp=sharing"",""กาญจนบุรี!J111"")"),6)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IFERROR(__xludf.DUMMYFUNCTION("IMPORTRANGE(""https://docs.google.com/spreadsheets/d/1SX6NBoVAgQJ6U1MVXOaj8PK2l7WJ3RER9xtqwdhxkhw/edit?usp=sharing"",""กาญจนบุรี!J112"")"),0)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IFERROR(__xludf.DUMMYFUNCTION("IMPORTRANGE(""https://docs.google.com/spreadsheets/d/1SX6NBoVAgQJ6U1MVXOaj8PK2l7WJ3RER9xtqwdhxkhw/edit?usp=sharing"",""กาญจนบุรี!J113"")"),0)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IFERROR(__xludf.DUMMYFUNCTION("IMPORTRANGE(""https://docs.google.com/spreadsheets/d/1SX6NBoVAgQJ6U1MVXOaj8PK2l7WJ3RER9xtqwdhxkhw/edit?usp=sharing"",""กาญจนบุรี!I114"")"),20000)</f>
        <v>20000</v>
      </c>
      <c r="J189" s="285">
        <f ca="1">IFERROR(__xludf.DUMMYFUNCTION("IMPORTRANGE(""https://docs.google.com/spreadsheets/d/1SX6NBoVAgQJ6U1MVXOaj8PK2l7WJ3RER9xtqwdhxkhw/edit?usp=sharing"",""กาญจนบุรี!J114"")"),0)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IFERROR(__xludf.DUMMYFUNCTION("IMPORTRANGE(""https://docs.google.com/spreadsheets/d/1SX6NBoVAgQJ6U1MVXOaj8PK2l7WJ3RER9xtqwdhxkhw/edit?usp=sharing"",""กาญจนบุรี!J119"")"),0)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IFERROR(__xludf.DUMMYFUNCTION("IMPORTRANGE(""https://docs.google.com/spreadsheets/d/1SX6NBoVAgQJ6U1MVXOaj8PK2l7WJ3RER9xtqwdhxkhw/edit?usp=sharing"",""กาญจนบุรี!J120"")"),1)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IFERROR(__xludf.DUMMYFUNCTION("IMPORTRANGE(""https://docs.google.com/spreadsheets/d/1SX6NBoVAgQJ6U1MVXOaj8PK2l7WJ3RER9xtqwdhxkhw/edit?usp=sharing"",""กาญจนบุรี!J121"")"),1)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IFERROR(__xludf.DUMMYFUNCTION("IMPORTRANGE(""https://docs.google.com/spreadsheets/d/1SX6NBoVAgQJ6U1MVXOaj8PK2l7WJ3RER9xtqwdhxkhw/edit?usp=sharing"",""กาญจนบุรี!J122"")"),1)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IFERROR(__xludf.DUMMYFUNCTION("IMPORTRANGE(""https://docs.google.com/spreadsheets/d/1SX6NBoVAgQJ6U1MVXOaj8PK2l7WJ3RER9xtqwdhxkhw/edit?usp=sharing"",""กาญจนบุรี!I124"")"),20000)</f>
        <v>20000</v>
      </c>
      <c r="J199" s="189">
        <f ca="1">IFERROR(__xludf.DUMMYFUNCTION("IMPORTRANGE(""https://docs.google.com/spreadsheets/d/1SX6NBoVAgQJ6U1MVXOaj8PK2l7WJ3RER9xtqwdhxkhw/edit?usp=sharing"",""กาญจนบุรี!J124"")"),0)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IFERROR(__xludf.DUMMYFUNCTION("IMPORTRANGE(""https://docs.google.com/spreadsheets/d/1SX6NBoVAgQJ6U1MVXOaj8PK2l7WJ3RER9xtqwdhxkhw/edit?usp=sharing"",""กาญจนบุรี!I125"")"),20000)</f>
        <v>20000</v>
      </c>
      <c r="J200" s="189">
        <f ca="1">IFERROR(__xludf.DUMMYFUNCTION("IMPORTRANGE(""https://docs.google.com/spreadsheets/d/1SX6NBoVAgQJ6U1MVXOaj8PK2l7WJ3RER9xtqwdhxkhw/edit?usp=sharing"",""กาญจนบุรี!J125"")"),0)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IFERROR(__xludf.DUMMYFUNCTION("IMPORTRANGE(""https://docs.google.com/spreadsheets/d/1SX6NBoVAgQJ6U1MVXOaj8PK2l7WJ3RER9xtqwdhxkhw/edit?usp=sharing"",""กาญจนบุรี!I126"")"),0)</f>
        <v>0</v>
      </c>
      <c r="J201" s="189">
        <f ca="1">IFERROR(__xludf.DUMMYFUNCTION("IMPORTRANGE(""https://docs.google.com/spreadsheets/d/1SX6NBoVAgQJ6U1MVXOaj8PK2l7WJ3RER9xtqwdhxkhw/edit?usp=sharing"",""กาญจนบุรี!J126"")"),0)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IFERROR(__xludf.DUMMYFUNCTION("IMPORTRANGE(""https://docs.google.com/spreadsheets/d/1SX6NBoVAgQJ6U1MVXOaj8PK2l7WJ3RER9xtqwdhxkhw/edit?usp=sharing"",""กาญจนบุรี!J127"")"),0)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IFERROR(__xludf.DUMMYFUNCTION("IMPORTRANGE(""https://docs.google.com/spreadsheets/d/1SX6NBoVAgQJ6U1MVXOaj8PK2l7WJ3RER9xtqwdhxkhw/edit?usp=sharing"",""กาญจนบุรี!J128"")"),0)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IFERROR(__xludf.DUMMYFUNCTION("IMPORTRANGE(""https://docs.google.com/spreadsheets/d/1SX6NBoVAgQJ6U1MVXOaj8PK2l7WJ3RER9xtqwdhxkhw/edit?usp=sharing"",""กาญจนบุรี!I129"")"),30)</f>
        <v>30</v>
      </c>
      <c r="J204" s="285">
        <f ca="1">IFERROR(__xludf.DUMMYFUNCTION("IMPORTRANGE(""https://docs.google.com/spreadsheets/d/1SX6NBoVAgQJ6U1MVXOaj8PK2l7WJ3RER9xtqwdhxkhw/edit?usp=sharing"",""กาญจนบุรี!J129"")"),30)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IFERROR(__xludf.DUMMYFUNCTION("IMPORTRANGE(""https://docs.google.com/spreadsheets/d/1SX6NBoVAgQJ6U1MVXOaj8PK2l7WJ3RER9xtqwdhxkhw/edit?usp=sharing"",""กาญจนบุรี!J134"")"),0)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IFERROR(__xludf.DUMMYFUNCTION("IMPORTRANGE(""https://docs.google.com/spreadsheets/d/1SX6NBoVAgQJ6U1MVXOaj8PK2l7WJ3RER9xtqwdhxkhw/edit?usp=sharing"",""กาญจนบุรี!J135"")"),1)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IFERROR(__xludf.DUMMYFUNCTION("IMPORTRANGE(""https://docs.google.com/spreadsheets/d/1SX6NBoVAgQJ6U1MVXOaj8PK2l7WJ3RER9xtqwdhxkhw/edit?usp=sharing"",""กาญจนบุรี!J136"")"),1)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IFERROR(__xludf.DUMMYFUNCTION("IMPORTRANGE(""https://docs.google.com/spreadsheets/d/1SX6NBoVAgQJ6U1MVXOaj8PK2l7WJ3RER9xtqwdhxkhw/edit?usp=sharing"",""กาญจนบุรี!J137"")"),1)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IFERROR(__xludf.DUMMYFUNCTION("IMPORTRANGE(""https://docs.google.com/spreadsheets/d/1SX6NBoVAgQJ6U1MVXOaj8PK2l7WJ3RER9xtqwdhxkhw/edit?usp=sharing"",""กาญจนบุรี!I138"")"),30)</f>
        <v>30</v>
      </c>
      <c r="J213" s="204">
        <f ca="1">IFERROR(__xludf.DUMMYFUNCTION("IMPORTRANGE(""https://docs.google.com/spreadsheets/d/1SX6NBoVAgQJ6U1MVXOaj8PK2l7WJ3RER9xtqwdhxkhw/edit?usp=sharing"",""กาญจนบุรี!J138"")"),30)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IFERROR(__xludf.DUMMYFUNCTION("IMPORTRANGE(""https://docs.google.com/spreadsheets/d/1SX6NBoVAgQJ6U1MVXOaj8PK2l7WJ3RER9xtqwdhxkhw/edit?usp=sharing"",""กาญจนบุรี!I140"")"),0)</f>
        <v>0</v>
      </c>
      <c r="J215" s="204">
        <f ca="1">IFERROR(__xludf.DUMMYFUNCTION("IMPORTRANGE(""https://docs.google.com/spreadsheets/d/1SX6NBoVAgQJ6U1MVXOaj8PK2l7WJ3RER9xtqwdhxkhw/edit?usp=sharing"",""กาญจนบุรี!J140"")"),0)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IFERROR(__xludf.DUMMYFUNCTION("IMPORTRANGE(""https://docs.google.com/spreadsheets/d/1SX6NBoVAgQJ6U1MVXOaj8PK2l7WJ3RER9xtqwdhxkhw/edit?usp=sharing"",""กาญจนบุรี!I141"")"),1)</f>
        <v>1</v>
      </c>
      <c r="J216" s="204">
        <f ca="1">IFERROR(__xludf.DUMMYFUNCTION("IMPORTRANGE(""https://docs.google.com/spreadsheets/d/1SX6NBoVAgQJ6U1MVXOaj8PK2l7WJ3RER9xtqwdhxkhw/edit?usp=sharing"",""กาญจนบุรี!J141"")"),0)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IFERROR(__xludf.DUMMYFUNCTION("IMPORTRANGE(""https://docs.google.com/spreadsheets/d/1SX6NBoVAgQJ6U1MVXOaj8PK2l7WJ3RER9xtqwdhxkhw/edit?usp=sharing"",""กาญจนบุรี!J142"")"),0)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IFERROR(__xludf.DUMMYFUNCTION("IMPORTRANGE(""https://docs.google.com/spreadsheets/d/1SX6NBoVAgQJ6U1MVXOaj8PK2l7WJ3RER9xtqwdhxkhw/edit?usp=sharing"",""กาญจนบุรี!J143"")"),0)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IFERROR(__xludf.DUMMYFUNCTION("IMPORTRANGE(""https://docs.google.com/spreadsheets/d/1SX6NBoVAgQJ6U1MVXOaj8PK2l7WJ3RER9xtqwdhxkhw/edit?usp=sharing"",""กาญจนบุรี!I144"")"),14)</f>
        <v>14</v>
      </c>
      <c r="J219" s="268">
        <f ca="1">IFERROR(__xludf.DUMMYFUNCTION("IMPORTRANGE(""https://docs.google.com/spreadsheets/d/1SX6NBoVAgQJ6U1MVXOaj8PK2l7WJ3RER9xtqwdhxkhw/edit?usp=sharing"",""กาญจนบุรี!J144"")"),14)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IFERROR(__xludf.DUMMYFUNCTION("IMPORTRANGE(""https://docs.google.com/spreadsheets/d/1Yj_ptqi66GCucihVvJfMjLAmec39IyEx_6qawtMGysU/edit?usp=sharing"",""สบก!BS59"")"),20210)</f>
        <v>20210</v>
      </c>
      <c r="N224" s="169">
        <f ca="1">IFERROR(__xludf.DUMMYFUNCTION("IMPORTRANGE(""https://docs.google.com/spreadsheets/d/1Yj_ptqi66GCucihVvJfMjLAmec39IyEx_6qawtMGysU/edit?usp=sharing"",""สบก!BT59"")"),20210)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IFERROR(__xludf.DUMMYFUNCTION("IMPORTRANGE(""https://docs.google.com/spreadsheets/d/1Yj_ptqi66GCucihVvJfMjLAmec39IyEx_6qawtMGysU/edit?usp=sharing"",""สบก!BP59"")"),20210)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IFERROR(__xludf.DUMMYFUNCTION("IMPORTRANGE(""https://docs.google.com/spreadsheets/d/1SX6NBoVAgQJ6U1MVXOaj8PK2l7WJ3RER9xtqwdhxkhw/edit?usp=sharing"",""กาญจนบุรี!I149"")"),14)</f>
        <v>14</v>
      </c>
      <c r="J229" s="268">
        <f ca="1">IFERROR(__xludf.DUMMYFUNCTION("IMPORTRANGE(""https://docs.google.com/spreadsheets/d/1SX6NBoVAgQJ6U1MVXOaj8PK2l7WJ3RER9xtqwdhxkhw/edit?usp=sharing"",""กาญจนบุรี!J149"")"),14)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IFERROR(__xludf.DUMMYFUNCTION("IMPORTRANGE(""https://docs.google.com/spreadsheets/d/1SX6NBoVAgQJ6U1MVXOaj8PK2l7WJ3RER9xtqwdhxkhw/edit?usp=sharing"",""กาญจนบุรี!J151"")"),0)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IFERROR(__xludf.DUMMYFUNCTION("IMPORTRANGE(""https://docs.google.com/spreadsheets/d/1SX6NBoVAgQJ6U1MVXOaj8PK2l7WJ3RER9xtqwdhxkhw/edit?usp=sharing"",""กาญจนบุรี!J152"")"),1)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IFERROR(__xludf.DUMMYFUNCTION("IMPORTRANGE(""https://docs.google.com/spreadsheets/d/1SX6NBoVAgQJ6U1MVXOaj8PK2l7WJ3RER9xtqwdhxkhw/edit?usp=sharing"",""กาญจนบุรี!J153"")"),1)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IFERROR(__xludf.DUMMYFUNCTION("IMPORTRANGE(""https://docs.google.com/spreadsheets/d/1SX6NBoVAgQJ6U1MVXOaj8PK2l7WJ3RER9xtqwdhxkhw/edit?usp=sharing"",""กาญจนบุรี!J154"")"),1)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IFERROR(__xludf.DUMMYFUNCTION("IMPORTRANGE(""https://docs.google.com/spreadsheets/d/1SX6NBoVAgQJ6U1MVXOaj8PK2l7WJ3RER9xtqwdhxkhw/edit?usp=sharing"",""กาญจนบุรี!I155"")"),14)</f>
        <v>14</v>
      </c>
      <c r="J235" s="189">
        <f ca="1">IFERROR(__xludf.DUMMYFUNCTION("IMPORTRANGE(""https://docs.google.com/spreadsheets/d/1SX6NBoVAgQJ6U1MVXOaj8PK2l7WJ3RER9xtqwdhxkhw/edit?usp=sharing"",""กาญจนบุรี!J155"")"),14)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IFERROR(__xludf.DUMMYFUNCTION("IMPORTRANGE(""https://docs.google.com/spreadsheets/d/1SX6NBoVAgQJ6U1MVXOaj8PK2l7WJ3RER9xtqwdhxkhw/edit?usp=sharing"",""กาญจนบุรี!J156"")"),0)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IFERROR(__xludf.DUMMYFUNCTION("IMPORTRANGE(""https://docs.google.com/spreadsheets/d/1SX6NBoVAgQJ6U1MVXOaj8PK2l7WJ3RER9xtqwdhxkhw/edit?usp=sharing"",""กาญจนบุรี!J157"")"),0)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IFERROR(__xludf.DUMMYFUNCTION("IMPORTRANGE(""https://docs.google.com/spreadsheets/d/1SX6NBoVAgQJ6U1MVXOaj8PK2l7WJ3RER9xtqwdhxkhw/edit?usp=sharing"",""กาญจนบุรี!I158"")"),0)</f>
        <v>0</v>
      </c>
      <c r="J238" s="268">
        <f ca="1">IFERROR(__xludf.DUMMYFUNCTION("IMPORTRANGE(""https://docs.google.com/spreadsheets/d/1SX6NBoVAgQJ6U1MVXOaj8PK2l7WJ3RER9xtqwdhxkhw/edit?usp=sharing"",""กาญจนบุรี!J158"")"),0)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IFERROR(__xludf.DUMMYFUNCTION("IMPORTRANGE(""https://docs.google.com/spreadsheets/d/1SX6NBoVAgQJ6U1MVXOaj8PK2l7WJ3RER9xtqwdhxkhw/edit?usp=sharing"",""กาญจนบุรี!J161"")"),0)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IFERROR(__xludf.DUMMYFUNCTION("IMPORTRANGE(""https://docs.google.com/spreadsheets/d/1SX6NBoVAgQJ6U1MVXOaj8PK2l7WJ3RER9xtqwdhxkhw/edit?usp=sharing"",""กาญจนบุรี!J162"")"),0)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IFERROR(__xludf.DUMMYFUNCTION("IMPORTRANGE(""https://docs.google.com/spreadsheets/d/1SX6NBoVAgQJ6U1MVXOaj8PK2l7WJ3RER9xtqwdhxkhw/edit?usp=sharing"",""กาญจนบุรี!J163"")"),0)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IFERROR(__xludf.DUMMYFUNCTION("IMPORTRANGE(""https://docs.google.com/spreadsheets/d/1SX6NBoVAgQJ6U1MVXOaj8PK2l7WJ3RER9xtqwdhxkhw/edit?usp=sharing"",""กาญจนบุรี!I164"")"),0)</f>
        <v>0</v>
      </c>
      <c r="J244" s="188">
        <f ca="1">IFERROR(__xludf.DUMMYFUNCTION("IMPORTRANGE(""https://docs.google.com/spreadsheets/d/1SX6NBoVAgQJ6U1MVXOaj8PK2l7WJ3RER9xtqwdhxkhw/edit?usp=sharing"",""กาญจนบุรี!J164"")"),0)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IFERROR(__xludf.DUMMYFUNCTION("IMPORTRANGE(""https://docs.google.com/spreadsheets/d/1SX6NBoVAgQJ6U1MVXOaj8PK2l7WJ3RER9xtqwdhxkhw/edit?usp=sharing"",""กาญจนบุรี!J165"")"),0)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IFERROR(__xludf.DUMMYFUNCTION("IMPORTRANGE(""https://docs.google.com/spreadsheets/d/1SX6NBoVAgQJ6U1MVXOaj8PK2l7WJ3RER9xtqwdhxkhw/edit?usp=sharing"",""กาญจนบุรี!J166"")"),0)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IFERROR(__xludf.DUMMYFUNCTION("IMPORTRANGE(""https://docs.google.com/spreadsheets/d/1SX6NBoVAgQJ6U1MVXOaj8PK2l7WJ3RER9xtqwdhxkhw/edit?usp=sharing"",""กาญจนบุรี!I169"")"),20)</f>
        <v>20</v>
      </c>
      <c r="J249" s="317">
        <f ca="1">IFERROR(__xludf.DUMMYFUNCTION("IMPORTRANGE(""https://docs.google.com/spreadsheets/d/1SX6NBoVAgQJ6U1MVXOaj8PK2l7WJ3RER9xtqwdhxkhw/edit?usp=sharing"",""กาญจนบุรี!J169"")"),20)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39040</v>
      </c>
      <c r="O250" s="151">
        <f t="shared" ref="O250:O252" ca="1" si="78">IF(L250&gt;0,N250*100/L250,0)</f>
        <v>54.677871148459381</v>
      </c>
      <c r="P250" s="151">
        <f t="shared" ref="P250:P252" ca="1" si="79">IF(M250&gt;0,N250*100/M250,0)</f>
        <v>92.952380952380949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39040</v>
      </c>
      <c r="O252" s="156">
        <f t="shared" ca="1" si="78"/>
        <v>54.677871148459381</v>
      </c>
      <c r="P252" s="156">
        <f t="shared" ca="1" si="79"/>
        <v>92.952380952380949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IFERROR(__xludf.DUMMYFUNCTION("IMPORTRANGE(""https://docs.google.com/spreadsheets/d/1Yj_ptqi66GCucihVvJfMjLAmec39IyEx_6qawtMGysU/edit?usp=sharing"",""สบก!CB59"")"),42000)</f>
        <v>42000</v>
      </c>
      <c r="N254" s="169">
        <f ca="1">IFERROR(__xludf.DUMMYFUNCTION("IMPORTRANGE(""https://docs.google.com/spreadsheets/d/1Yj_ptqi66GCucihVvJfMjLAmec39IyEx_6qawtMGysU/edit?usp=sharing"",""สบก!CC59"")"),39040)</f>
        <v>39040</v>
      </c>
      <c r="O254" s="169">
        <f ca="1">IF(L254&gt;0,N254*100/L254,0)</f>
        <v>54.677871148459381</v>
      </c>
      <c r="P254" s="169">
        <f ca="1">IF(M254&gt;0,N254*100/M254,0)</f>
        <v>92.952380952380949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IFERROR(__xludf.DUMMYFUNCTION("IMPORTRANGE(""https://docs.google.com/spreadsheets/d/1Yj_ptqi66GCucihVvJfMjLAmec39IyEx_6qawtMGysU/edit?usp=sharing"",""สบก!BY59"")"),71400)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IFERROR(__xludf.DUMMYFUNCTION("IMPORTRANGE(""https://docs.google.com/spreadsheets/d/1SX6NBoVAgQJ6U1MVXOaj8PK2l7WJ3RER9xtqwdhxkhw/edit?usp=sharing"",""กาญจนบุรี!J175"")"),0)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IFERROR(__xludf.DUMMYFUNCTION("IMPORTRANGE(""https://docs.google.com/spreadsheets/d/1SX6NBoVAgQJ6U1MVXOaj8PK2l7WJ3RER9xtqwdhxkhw/edit?usp=sharing"",""กาญจนบุรี!J176"")"),1)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IFERROR(__xludf.DUMMYFUNCTION("IMPORTRANGE(""https://docs.google.com/spreadsheets/d/1SX6NBoVAgQJ6U1MVXOaj8PK2l7WJ3RER9xtqwdhxkhw/edit?usp=sharing"",""กาญจนบุรี!J177"")"),1)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IFERROR(__xludf.DUMMYFUNCTION("IMPORTRANGE(""https://docs.google.com/spreadsheets/d/1SX6NBoVAgQJ6U1MVXOaj8PK2l7WJ3RER9xtqwdhxkhw/edit?usp=sharing"",""กาญจนบุรี!J178"")"),1)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IFERROR(__xludf.DUMMYFUNCTION("IMPORTRANGE(""https://docs.google.com/spreadsheets/d/1SX6NBoVAgQJ6U1MVXOaj8PK2l7WJ3RER9xtqwdhxkhw/edit?usp=sharing"",""กาญจนบุรี!I179"")"),1)</f>
        <v>1</v>
      </c>
      <c r="J264" s="189">
        <f ca="1">IFERROR(__xludf.DUMMYFUNCTION("IMPORTRANGE(""https://docs.google.com/spreadsheets/d/1SX6NBoVAgQJ6U1MVXOaj8PK2l7WJ3RER9xtqwdhxkhw/edit?usp=sharing"",""กาญจนบุรี!J179"")"),1)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IFERROR(__xludf.DUMMYFUNCTION("IMPORTRANGE(""https://docs.google.com/spreadsheets/d/1SX6NBoVAgQJ6U1MVXOaj8PK2l7WJ3RER9xtqwdhxkhw/edit?usp=sharing"",""กาญจนบุรี!I180"")"),20)</f>
        <v>20</v>
      </c>
      <c r="J265" s="189">
        <f ca="1">IFERROR(__xludf.DUMMYFUNCTION("IMPORTRANGE(""https://docs.google.com/spreadsheets/d/1SX6NBoVAgQJ6U1MVXOaj8PK2l7WJ3RER9xtqwdhxkhw/edit?usp=sharing"",""กาญจนบุรี!J180"")"),20)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IFERROR(__xludf.DUMMYFUNCTION("IMPORTRANGE(""https://docs.google.com/spreadsheets/d/1SX6NBoVAgQJ6U1MVXOaj8PK2l7WJ3RER9xtqwdhxkhw/edit?usp=sharing"",""กาญจนบุรี!I181"")"),20)</f>
        <v>20</v>
      </c>
      <c r="J266" s="189">
        <f ca="1">IFERROR(__xludf.DUMMYFUNCTION("IMPORTRANGE(""https://docs.google.com/spreadsheets/d/1SX6NBoVAgQJ6U1MVXOaj8PK2l7WJ3RER9xtqwdhxkhw/edit?usp=sharing"",""กาญจนบุรี!J181"")"),0)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IFERROR(__xludf.DUMMYFUNCTION("IMPORTRANGE(""https://docs.google.com/spreadsheets/d/1SX6NBoVAgQJ6U1MVXOaj8PK2l7WJ3RER9xtqwdhxkhw/edit?usp=sharing"",""กาญจนบุรี!I182"")"),1)</f>
        <v>1</v>
      </c>
      <c r="J267" s="189">
        <f ca="1">IFERROR(__xludf.DUMMYFUNCTION("IMPORTRANGE(""https://docs.google.com/spreadsheets/d/1SX6NBoVAgQJ6U1MVXOaj8PK2l7WJ3RER9xtqwdhxkhw/edit?usp=sharing"",""กาญจนบุรี!J182"")"),1)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IFERROR(__xludf.DUMMYFUNCTION("IMPORTRANGE(""https://docs.google.com/spreadsheets/d/1SX6NBoVAgQJ6U1MVXOaj8PK2l7WJ3RER9xtqwdhxkhw/edit?usp=sharing"",""กาญจนบุรี!J183"")"),0)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IFERROR(__xludf.DUMMYFUNCTION("IMPORTRANGE(""https://docs.google.com/spreadsheets/d/1SX6NBoVAgQJ6U1MVXOaj8PK2l7WJ3RER9xtqwdhxkhw/edit?usp=sharing"",""กาญจนบุรี!J184"")"),0)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IFERROR(__xludf.DUMMYFUNCTION("IMPORTRANGE(""https://docs.google.com/spreadsheets/d/1SX6NBoVAgQJ6U1MVXOaj8PK2l7WJ3RER9xtqwdhxkhw/edit?usp=sharing"",""กาญจนบุรี!I185"")"),20)</f>
        <v>20</v>
      </c>
      <c r="J270" s="317">
        <f ca="1">IFERROR(__xludf.DUMMYFUNCTION("IMPORTRANGE(""https://docs.google.com/spreadsheets/d/1SX6NBoVAgQJ6U1MVXOaj8PK2l7WJ3RER9xtqwdhxkhw/edit?usp=sharing"",""กาญจนบุรี!J185"")"),20)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129890</v>
      </c>
      <c r="O271" s="151">
        <f t="shared" ref="O271:O273" ca="1" si="84">IF(L271&gt;0,N271*100/L271,0)</f>
        <v>70.746187363834423</v>
      </c>
      <c r="P271" s="151">
        <f t="shared" ref="P271:P273" ca="1" si="85">IF(M271&gt;0,N271*100/M271,0)</f>
        <v>80.377475247524757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129890</v>
      </c>
      <c r="O273" s="156">
        <f t="shared" ca="1" si="84"/>
        <v>70.746187363834423</v>
      </c>
      <c r="P273" s="156">
        <f t="shared" ca="1" si="85"/>
        <v>80.377475247524757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IFERROR(__xludf.DUMMYFUNCTION("IMPORTRANGE(""https://docs.google.com/spreadsheets/d/1Yj_ptqi66GCucihVvJfMjLAmec39IyEx_6qawtMGysU/edit?usp=sharing"",""สบก!CK59"")"),161600)</f>
        <v>161600</v>
      </c>
      <c r="N275" s="169">
        <f ca="1">IFERROR(__xludf.DUMMYFUNCTION("IMPORTRANGE(""https://docs.google.com/spreadsheets/d/1Yj_ptqi66GCucihVvJfMjLAmec39IyEx_6qawtMGysU/edit?usp=sharing"",""สบก!CL59"")"),129890)</f>
        <v>129890</v>
      </c>
      <c r="O275" s="169">
        <f ca="1">IF(L275&gt;0,N275*100/L275,0)</f>
        <v>70.746187363834423</v>
      </c>
      <c r="P275" s="169">
        <f ca="1">IF(M275&gt;0,N275*100/M275,0)</f>
        <v>80.377475247524757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IFERROR(__xludf.DUMMYFUNCTION("IMPORTRANGE(""https://docs.google.com/spreadsheets/d/1Yj_ptqi66GCucihVvJfMjLAmec39IyEx_6qawtMGysU/edit?usp=sharing"",""สบก!CH59"")"),183600)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IFERROR(__xludf.DUMMYFUNCTION("IMPORTRANGE(""https://docs.google.com/spreadsheets/d/1SX6NBoVAgQJ6U1MVXOaj8PK2l7WJ3RER9xtqwdhxkhw/edit?usp=sharing"",""กาญจนบุรี!J191"")"),0)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IFERROR(__xludf.DUMMYFUNCTION("IMPORTRANGE(""https://docs.google.com/spreadsheets/d/1SX6NBoVAgQJ6U1MVXOaj8PK2l7WJ3RER9xtqwdhxkhw/edit?usp=sharing"",""กาญจนบุรี!J192"")"),1)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IFERROR(__xludf.DUMMYFUNCTION("IMPORTRANGE(""https://docs.google.com/spreadsheets/d/1SX6NBoVAgQJ6U1MVXOaj8PK2l7WJ3RER9xtqwdhxkhw/edit?usp=sharing"",""กาญจนบุรี!J193"")"),1)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IFERROR(__xludf.DUMMYFUNCTION("IMPORTRANGE(""https://docs.google.com/spreadsheets/d/1SX6NBoVAgQJ6U1MVXOaj8PK2l7WJ3RER9xtqwdhxkhw/edit?usp=sharing"",""กาญจนบุรี!J194"")"),1)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IFERROR(__xludf.DUMMYFUNCTION("IMPORTRANGE(""https://docs.google.com/spreadsheets/d/1SX6NBoVAgQJ6U1MVXOaj8PK2l7WJ3RER9xtqwdhxkhw/edit?usp=sharing"",""กาญจนบุรี!I195"")"),20)</f>
        <v>20</v>
      </c>
      <c r="J285" s="189">
        <f ca="1">IFERROR(__xludf.DUMMYFUNCTION("IMPORTRANGE(""https://docs.google.com/spreadsheets/d/1SX6NBoVAgQJ6U1MVXOaj8PK2l7WJ3RER9xtqwdhxkhw/edit?usp=sharing"",""กาญจนบุรี!J195"")"),20)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IFERROR(__xludf.DUMMYFUNCTION("IMPORTRANGE(""https://docs.google.com/spreadsheets/d/1SX6NBoVAgQJ6U1MVXOaj8PK2l7WJ3RER9xtqwdhxkhw/edit?usp=sharing"",""กาญจนบุรี!J196"")"),0)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IFERROR(__xludf.DUMMYFUNCTION("IMPORTRANGE(""https://docs.google.com/spreadsheets/d/1SX6NBoVAgQJ6U1MVXOaj8PK2l7WJ3RER9xtqwdhxkhw/edit?usp=sharing"",""กาญจนบุรี!J197"")"),0)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IFERROR(__xludf.DUMMYFUNCTION("IMPORTRANGE(""https://docs.google.com/spreadsheets/d/1SX6NBoVAgQJ6U1MVXOaj8PK2l7WJ3RER9xtqwdhxkhw/edit?usp=sharing"",""กาญจนบุรี!I199"")"),30)</f>
        <v>30</v>
      </c>
      <c r="J289" s="317">
        <f ca="1">IFERROR(__xludf.DUMMYFUNCTION("IMPORTRANGE(""https://docs.google.com/spreadsheets/d/1SX6NBoVAgQJ6U1MVXOaj8PK2l7WJ3RER9xtqwdhxkhw/edit?usp=sharing"",""กาญจนบุรี!J199"")"),30)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217860</v>
      </c>
      <c r="M290" s="152">
        <f t="shared" ca="1" si="88"/>
        <v>217860</v>
      </c>
      <c r="N290" s="152">
        <f t="shared" ca="1" si="88"/>
        <v>168240</v>
      </c>
      <c r="O290" s="151">
        <f t="shared" ref="O290:O292" ca="1" si="89">IF(L290&gt;0,N290*100/L290,0)</f>
        <v>77.223905260258888</v>
      </c>
      <c r="P290" s="151">
        <f t="shared" ref="P290:P292" ca="1" si="90">IF(M290&gt;0,N290*100/M290,0)</f>
        <v>77.223905260258888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217860</v>
      </c>
      <c r="M292" s="157">
        <f t="shared" ca="1" si="92"/>
        <v>217860</v>
      </c>
      <c r="N292" s="157">
        <f t="shared" ca="1" si="92"/>
        <v>168240</v>
      </c>
      <c r="O292" s="156">
        <f t="shared" ca="1" si="89"/>
        <v>77.223905260258888</v>
      </c>
      <c r="P292" s="156">
        <f t="shared" ca="1" si="90"/>
        <v>77.223905260258888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95360</v>
      </c>
      <c r="M294" s="168">
        <f ca="1">IFERROR(__xludf.DUMMYFUNCTION("IMPORTRANGE(""https://docs.google.com/spreadsheets/d/1Yj_ptqi66GCucihVvJfMjLAmec39IyEx_6qawtMGysU/edit?usp=sharing"",""สบก!CT59"")"),95360)</f>
        <v>95360</v>
      </c>
      <c r="N294" s="169">
        <f ca="1">IFERROR(__xludf.DUMMYFUNCTION("IMPORTRANGE(""https://docs.google.com/spreadsheets/d/1Yj_ptqi66GCucihVvJfMjLAmec39IyEx_6qawtMGysU/edit?usp=sharing"",""สบก!CU59"")"),45740)</f>
        <v>45740</v>
      </c>
      <c r="O294" s="169">
        <f ca="1">IF(L294&gt;0,N294*100/L294,0)</f>
        <v>47.965604026845639</v>
      </c>
      <c r="P294" s="169">
        <f ca="1">IF(M294&gt;0,N294*100/M294,0)</f>
        <v>47.965604026845639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IFERROR(__xludf.DUMMYFUNCTION("IMPORTRANGE(""https://docs.google.com/spreadsheets/d/1Yj_ptqi66GCucihVvJfMjLAmec39IyEx_6qawtMGysU/edit?usp=sharing"",""สบก!CQ59"")"),95360)</f>
        <v>95360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IFERROR(__xludf.DUMMYFUNCTION("IMPORTRANGE(""https://docs.google.com/spreadsheets/d/1SX6NBoVAgQJ6U1MVXOaj8PK2l7WJ3RER9xtqwdhxkhw/edit?usp=sharing"",""กาญจนบุรี!J205"")"),0)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IFERROR(__xludf.DUMMYFUNCTION("IMPORTRANGE(""https://docs.google.com/spreadsheets/d/1SX6NBoVAgQJ6U1MVXOaj8PK2l7WJ3RER9xtqwdhxkhw/edit?usp=sharing"",""กาญจนบุรี!J206"")"),1)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IFERROR(__xludf.DUMMYFUNCTION("IMPORTRANGE(""https://docs.google.com/spreadsheets/d/1SX6NBoVAgQJ6U1MVXOaj8PK2l7WJ3RER9xtqwdhxkhw/edit?usp=sharing"",""กาญจนบุรี!J207"")"),1)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IFERROR(__xludf.DUMMYFUNCTION("IMPORTRANGE(""https://docs.google.com/spreadsheets/d/1SX6NBoVAgQJ6U1MVXOaj8PK2l7WJ3RER9xtqwdhxkhw/edit?usp=sharing"",""กาญจนบุรี!J208"")"),1)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IFERROR(__xludf.DUMMYFUNCTION("IMPORTRANGE(""https://docs.google.com/spreadsheets/d/1SX6NBoVAgQJ6U1MVXOaj8PK2l7WJ3RER9xtqwdhxkhw/edit?usp=sharing"",""กาญจนบุรี!I209"")"),30)</f>
        <v>30</v>
      </c>
      <c r="J304" s="204">
        <f ca="1">IFERROR(__xludf.DUMMYFUNCTION("IMPORTRANGE(""https://docs.google.com/spreadsheets/d/1SX6NBoVAgQJ6U1MVXOaj8PK2l7WJ3RER9xtqwdhxkhw/edit?usp=sharing"",""กาญจนบุรี!J209"")"),30)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IFERROR(__xludf.DUMMYFUNCTION("IMPORTRANGE(""https://docs.google.com/spreadsheets/d/1SX6NBoVAgQJ6U1MVXOaj8PK2l7WJ3RER9xtqwdhxkhw/edit?usp=sharing"",""กาญจนบุรี!I211"")"),30)</f>
        <v>30</v>
      </c>
      <c r="J306" s="204">
        <f ca="1">IFERROR(__xludf.DUMMYFUNCTION("IMPORTRANGE(""https://docs.google.com/spreadsheets/d/1SX6NBoVAgQJ6U1MVXOaj8PK2l7WJ3RER9xtqwdhxkhw/edit?usp=sharing"",""กาญจนบุรี!J211"")"),0)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IFERROR(__xludf.DUMMYFUNCTION("IMPORTRANGE(""https://docs.google.com/spreadsheets/d/1SX6NBoVAgQJ6U1MVXOaj8PK2l7WJ3RER9xtqwdhxkhw/edit?usp=sharing"",""กาญจนบุรี!J213"")"),0)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IFERROR(__xludf.DUMMYFUNCTION("IMPORTRANGE(""https://docs.google.com/spreadsheets/d/1SX6NBoVAgQJ6U1MVXOaj8PK2l7WJ3RER9xtqwdhxkhw/edit?usp=sharing"",""กาญจนบุรี!I214"")"),3)</f>
        <v>3</v>
      </c>
      <c r="J309" s="334">
        <f ca="1">IFERROR(__xludf.DUMMYFUNCTION("IMPORTRANGE(""https://docs.google.com/spreadsheets/d/1SX6NBoVAgQJ6U1MVXOaj8PK2l7WJ3RER9xtqwdhxkhw/edit?usp=sharing"",""กาญจนบุรี!J214"")"),3)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264600</v>
      </c>
      <c r="M310" s="152">
        <f t="shared" ca="1" si="93"/>
        <v>198500</v>
      </c>
      <c r="N310" s="152">
        <f t="shared" ca="1" si="93"/>
        <v>113870</v>
      </c>
      <c r="O310" s="151">
        <f t="shared" ref="O310:O312" ca="1" si="94">IF(L310&gt;0,N310*100/L310,0)</f>
        <v>43.034769463340893</v>
      </c>
      <c r="P310" s="151">
        <f t="shared" ref="P310:P312" ca="1" si="95">IF(M310&gt;0,N310*100/M310,0)</f>
        <v>57.365239294710328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264600</v>
      </c>
      <c r="M312" s="157">
        <f t="shared" ca="1" si="97"/>
        <v>198500</v>
      </c>
      <c r="N312" s="157">
        <f t="shared" ca="1" si="97"/>
        <v>113870</v>
      </c>
      <c r="O312" s="156">
        <f t="shared" ca="1" si="94"/>
        <v>43.034769463340893</v>
      </c>
      <c r="P312" s="156">
        <f t="shared" ca="1" si="95"/>
        <v>57.365239294710328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264600</v>
      </c>
      <c r="M314" s="168">
        <f ca="1">IFERROR(__xludf.DUMMYFUNCTION("IMPORTRANGE(""https://docs.google.com/spreadsheets/d/1Yj_ptqi66GCucihVvJfMjLAmec39IyEx_6qawtMGysU/edit?usp=sharing"",""สบก!DC59"")"),198500)</f>
        <v>198500</v>
      </c>
      <c r="N314" s="169">
        <f ca="1">IFERROR(__xludf.DUMMYFUNCTION("IMPORTRANGE(""https://docs.google.com/spreadsheets/d/1Yj_ptqi66GCucihVvJfMjLAmec39IyEx_6qawtMGysU/edit?usp=sharing"",""สบก!DD59"")"),113870)</f>
        <v>113870</v>
      </c>
      <c r="O314" s="169">
        <f ca="1">IF(L314&gt;0,N314*100/L314,0)</f>
        <v>43.034769463340893</v>
      </c>
      <c r="P314" s="169">
        <f ca="1">IF(M314&gt;0,N314*100/M314,0)</f>
        <v>57.365239294710328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IFERROR(__xludf.DUMMYFUNCTION("IMPORTRANGE(""https://docs.google.com/spreadsheets/d/1Yj_ptqi66GCucihVvJfMjLAmec39IyEx_6qawtMGysU/edit?usp=sharing"",""สบก!CZ59"")"),264600)</f>
        <v>264600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IFERROR(__xludf.DUMMYFUNCTION("IMPORTRANGE(""https://docs.google.com/spreadsheets/d/1SX6NBoVAgQJ6U1MVXOaj8PK2l7WJ3RER9xtqwdhxkhw/edit?usp=sharing"",""กาญจนบุรี!J220"")"),0)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IFERROR(__xludf.DUMMYFUNCTION("IMPORTRANGE(""https://docs.google.com/spreadsheets/d/1SX6NBoVAgQJ6U1MVXOaj8PK2l7WJ3RER9xtqwdhxkhw/edit?usp=sharing"",""กาญจนบุรี!J221"")"),1)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IFERROR(__xludf.DUMMYFUNCTION("IMPORTRANGE(""https://docs.google.com/spreadsheets/d/1SX6NBoVAgQJ6U1MVXOaj8PK2l7WJ3RER9xtqwdhxkhw/edit?usp=sharing"",""กาญจนบุรี!J222"")"),1)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IFERROR(__xludf.DUMMYFUNCTION("IMPORTRANGE(""https://docs.google.com/spreadsheets/d/1SX6NBoVAgQJ6U1MVXOaj8PK2l7WJ3RER9xtqwdhxkhw/edit?usp=sharing"",""กาญจนบุรี!J223"")"),1)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IFERROR(__xludf.DUMMYFUNCTION("IMPORTRANGE(""https://docs.google.com/spreadsheets/d/1SX6NBoVAgQJ6U1MVXOaj8PK2l7WJ3RER9xtqwdhxkhw/edit?usp=sharing"",""กาญจนบุรี!I224"")"),3)</f>
        <v>3</v>
      </c>
      <c r="J324" s="204">
        <f ca="1">IFERROR(__xludf.DUMMYFUNCTION("IMPORTRANGE(""https://docs.google.com/spreadsheets/d/1SX6NBoVAgQJ6U1MVXOaj8PK2l7WJ3RER9xtqwdhxkhw/edit?usp=sharing"",""กาญจนบุรี!J224"")"),3)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IFERROR(__xludf.DUMMYFUNCTION("IMPORTRANGE(""https://docs.google.com/spreadsheets/d/1SX6NBoVAgQJ6U1MVXOaj8PK2l7WJ3RER9xtqwdhxkhw/edit?usp=sharing"",""กาญจนบุรี!J225"")"),0)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IFERROR(__xludf.DUMMYFUNCTION("IMPORTRANGE(""https://docs.google.com/spreadsheets/d/1SX6NBoVAgQJ6U1MVXOaj8PK2l7WJ3RER9xtqwdhxkhw/edit?usp=sharing"",""กาญจนบุรี!J226"")"),0)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IFERROR(__xludf.DUMMYFUNCTION("IMPORTRANGE(""https://docs.google.com/spreadsheets/d/1SX6NBoVAgQJ6U1MVXOaj8PK2l7WJ3RER9xtqwdhxkhw/edit?usp=sharing"",""กาญจนบุรี!I228"")"),220)</f>
        <v>220</v>
      </c>
      <c r="J328" s="340">
        <f ca="1">IFERROR(__xludf.DUMMYFUNCTION("IMPORTRANGE(""https://docs.google.com/spreadsheets/d/1SX6NBoVAgQJ6U1MVXOaj8PK2l7WJ3RER9xtqwdhxkhw/edit?usp=sharing"",""กาญจนบุรี!J228"")"),5)</f>
        <v>5</v>
      </c>
      <c r="K328" s="318">
        <f ca="1">IF(I328&gt;0,J328*100/I328,0)</f>
        <v>2.2727272727272729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1010640</v>
      </c>
      <c r="M329" s="152">
        <f t="shared" ca="1" si="98"/>
        <v>746710</v>
      </c>
      <c r="N329" s="152">
        <f t="shared" ca="1" si="98"/>
        <v>635233.38</v>
      </c>
      <c r="O329" s="151">
        <f t="shared" ref="O329:O331" ca="1" si="99">IF(L329&gt;0,N329*100/L329,0)</f>
        <v>62.854565423889809</v>
      </c>
      <c r="P329" s="151">
        <f t="shared" ref="P329:P331" ca="1" si="100">IF(M329&gt;0,N329*100/M329,0)</f>
        <v>85.070961953100934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1010640</v>
      </c>
      <c r="M331" s="157">
        <f t="shared" ca="1" si="102"/>
        <v>746710</v>
      </c>
      <c r="N331" s="157">
        <f t="shared" ca="1" si="102"/>
        <v>635233.38</v>
      </c>
      <c r="O331" s="156">
        <f t="shared" ca="1" si="99"/>
        <v>62.854565423889809</v>
      </c>
      <c r="P331" s="156">
        <f t="shared" ca="1" si="100"/>
        <v>85.070961953100934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1010640</v>
      </c>
      <c r="M333" s="168">
        <f ca="1">IFERROR(__xludf.DUMMYFUNCTION("IMPORTRANGE(""https://docs.google.com/spreadsheets/d/1Yj_ptqi66GCucihVvJfMjLAmec39IyEx_6qawtMGysU/edit?usp=sharing"",""สบก!DL59"")"),746710)</f>
        <v>746710</v>
      </c>
      <c r="N333" s="169">
        <f ca="1">IFERROR(__xludf.DUMMYFUNCTION("IMPORTRANGE(""https://docs.google.com/spreadsheets/d/1Yj_ptqi66GCucihVvJfMjLAmec39IyEx_6qawtMGysU/edit?usp=sharing"",""สบก!DM59"")"),635233.38)</f>
        <v>635233.38</v>
      </c>
      <c r="O333" s="169">
        <f ca="1">IF(L333&gt;0,N333*100/L333,0)</f>
        <v>62.854565423889809</v>
      </c>
      <c r="P333" s="169">
        <f ca="1">IF(M333&gt;0,N333*100/M333,0)</f>
        <v>85.070961953100934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IFERROR(__xludf.DUMMYFUNCTION("IMPORTRANGE(""https://docs.google.com/spreadsheets/d/1Yj_ptqi66GCucihVvJfMjLAmec39IyEx_6qawtMGysU/edit?usp=sharing"",""สบก!DH59"")"),629200)</f>
        <v>629200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IFERROR(__xludf.DUMMYFUNCTION("IMPORTRANGE(""https://docs.google.com/spreadsheets/d/1Yj_ptqi66GCucihVvJfMjLAmec39IyEx_6qawtMGysU/edit?usp=sharing"",""สบก!DI59"")"),381440)</f>
        <v>381440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IFERROR(__xludf.DUMMYFUNCTION("IMPORTRANGE(""https://docs.google.com/spreadsheets/d/1SX6NBoVAgQJ6U1MVXOaj8PK2l7WJ3RER9xtqwdhxkhw/edit?usp=sharing"",""กาญจนบุรี!I234"")"),0)</f>
        <v>0</v>
      </c>
      <c r="J339" s="188">
        <f ca="1">IFERROR(__xludf.DUMMYFUNCTION("IMPORTRANGE(""https://docs.google.com/spreadsheets/d/1SX6NBoVAgQJ6U1MVXOaj8PK2l7WJ3RER9xtqwdhxkhw/edit?usp=sharing"",""กาญจนบุรี!J234"")"),44)</f>
        <v>44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IFERROR(__xludf.DUMMYFUNCTION("IMPORTRANGE(""https://docs.google.com/spreadsheets/d/1SX6NBoVAgQJ6U1MVXOaj8PK2l7WJ3RER9xtqwdhxkhw/edit?usp=sharing"",""กาญจนบุรี!I235"")"),1960)</f>
        <v>1960</v>
      </c>
      <c r="J340" s="188">
        <f ca="1">IFERROR(__xludf.DUMMYFUNCTION("IMPORTRANGE(""https://docs.google.com/spreadsheets/d/1SX6NBoVAgQJ6U1MVXOaj8PK2l7WJ3RER9xtqwdhxkhw/edit?usp=sharing"",""กาญจนบุรี!J235"")"),319.06)</f>
        <v>319.06</v>
      </c>
      <c r="K340" s="343">
        <f t="shared" ca="1" si="103"/>
        <v>16.278571428571428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IFERROR(__xludf.DUMMYFUNCTION("IMPORTRANGE(""https://docs.google.com/spreadsheets/d/1SX6NBoVAgQJ6U1MVXOaj8PK2l7WJ3RER9xtqwdhxkhw/edit?usp=sharing"",""กาญจนบุรี!I236"")"),220)</f>
        <v>220</v>
      </c>
      <c r="J341" s="188">
        <f ca="1">IFERROR(__xludf.DUMMYFUNCTION("IMPORTRANGE(""https://docs.google.com/spreadsheets/d/1SX6NBoVAgQJ6U1MVXOaj8PK2l7WJ3RER9xtqwdhxkhw/edit?usp=sharing"",""กาญจนบุรี!J236"")"),32)</f>
        <v>32</v>
      </c>
      <c r="K341" s="343">
        <f t="shared" ca="1" si="103"/>
        <v>14.545454545454545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8">
        <f ca="1">IFERROR(__xludf.DUMMYFUNCTION("IMPORTRANGE(""https://docs.google.com/spreadsheets/d/1SX6NBoVAgQJ6U1MVXOaj8PK2l7WJ3RER9xtqwdhxkhw/edit?usp=sharing"",""กาญจนบุรี!J237"")"),273.61)</f>
        <v>273.61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IFERROR(__xludf.DUMMYFUNCTION("IMPORTRANGE(""https://docs.google.com/spreadsheets/d/1SX6NBoVAgQJ6U1MVXOaj8PK2l7WJ3RER9xtqwdhxkhw/edit?usp=sharing"",""กาญจนบุรี!I238"")"),220)</f>
        <v>220</v>
      </c>
      <c r="J343" s="188">
        <f ca="1">IFERROR(__xludf.DUMMYFUNCTION("IMPORTRANGE(""https://docs.google.com/spreadsheets/d/1SX6NBoVAgQJ6U1MVXOaj8PK2l7WJ3RER9xtqwdhxkhw/edit?usp=sharing"",""กาญจนบุรี!J238"")"),0)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8">
        <f ca="1">IFERROR(__xludf.DUMMYFUNCTION("IMPORTRANGE(""https://docs.google.com/spreadsheets/d/1SX6NBoVAgQJ6U1MVXOaj8PK2l7WJ3RER9xtqwdhxkhw/edit?usp=sharing"",""กาญจนบุรี!J239"")"),0)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IFERROR(__xludf.DUMMYFUNCTION("IMPORTRANGE(""https://docs.google.com/spreadsheets/d/1SX6NBoVAgQJ6U1MVXOaj8PK2l7WJ3RER9xtqwdhxkhw/edit?usp=sharing"",""กาญจนบุรี!I240"")"),220)</f>
        <v>220</v>
      </c>
      <c r="J345" s="188">
        <f ca="1">IFERROR(__xludf.DUMMYFUNCTION("IMPORTRANGE(""https://docs.google.com/spreadsheets/d/1SX6NBoVAgQJ6U1MVXOaj8PK2l7WJ3RER9xtqwdhxkhw/edit?usp=sharing"",""กาญจนบุรี!J240"")"),5)</f>
        <v>5</v>
      </c>
      <c r="K345" s="343">
        <f t="shared" ca="1" si="103"/>
        <v>2.2727272727272729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8">
        <f ca="1">IFERROR(__xludf.DUMMYFUNCTION("IMPORTRANGE(""https://docs.google.com/spreadsheets/d/1SX6NBoVAgQJ6U1MVXOaj8PK2l7WJ3RER9xtqwdhxkhw/edit?usp=sharing"",""กาญจนบุรี!J241"")"),41.75)</f>
        <v>41.75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IFERROR(__xludf.DUMMYFUNCTION("IMPORTRANGE(""https://docs.google.com/spreadsheets/d/1SX6NBoVAgQJ6U1MVXOaj8PK2l7WJ3RER9xtqwdhxkhw/edit?usp=sharing"",""กาญจนบุรี!L242"")"),3234038)</f>
        <v>3234038</v>
      </c>
      <c r="M347" s="358"/>
      <c r="N347" s="358">
        <f ca="1">IFERROR(__xludf.DUMMYFUNCTION("IMPORTRANGE(""https://docs.google.com/spreadsheets/d/1SX6NBoVAgQJ6U1MVXOaj8PK2l7WJ3RER9xtqwdhxkhw/edit?usp=sharing"",""กาญจนบุรี!M242"")"),927231.47)</f>
        <v>927231.47</v>
      </c>
      <c r="O347" s="358">
        <f ca="1">+IF(L347&gt;0,N347*100/L347,0)</f>
        <v>28.671013451295252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IFERROR(__xludf.DUMMYFUNCTION("IMPORTRANGE(""https://docs.google.com/spreadsheets/d/1SX6NBoVAgQJ6U1MVXOaj8PK2l7WJ3RER9xtqwdhxkhw/edit?usp=sharing"",""กาญจนบุรี!L244"")"),380760)</f>
        <v>380760</v>
      </c>
      <c r="M349" s="373"/>
      <c r="N349" s="373">
        <f ca="1">IFERROR(__xludf.DUMMYFUNCTION("IMPORTRANGE(""https://docs.google.com/spreadsheets/d/1SX6NBoVAgQJ6U1MVXOaj8PK2l7WJ3RER9xtqwdhxkhw/edit?usp=sharing"",""กาญจนบุรี!M244"")"),154727)</f>
        <v>154727</v>
      </c>
      <c r="O349" s="373">
        <f ca="1">+IF(L349&gt;0,N349*100/L349,0)</f>
        <v>40.63635886122492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IFERROR(__xludf.DUMMYFUNCTION("IMPORTRANGE(""https://docs.google.com/spreadsheets/d/1SX6NBoVAgQJ6U1MVXOaj8PK2l7WJ3RER9xtqwdhxkhw/edit?usp=sharing"",""กาญจนบุรี!L246"")"),0)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IFERROR(__xludf.DUMMYFUNCTION("IMPORTRANGE(""https://docs.google.com/spreadsheets/d/1SX6NBoVAgQJ6U1MVXOaj8PK2l7WJ3RER9xtqwdhxkhw/edit?usp=sharing"",""กาญจนบุรี!M246"")"),0)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IFERROR(__xludf.DUMMYFUNCTION("IMPORTRANGE(""https://docs.google.com/spreadsheets/d/1SX6NBoVAgQJ6U1MVXOaj8PK2l7WJ3RER9xtqwdhxkhw/edit?usp=sharing"",""กาญจนบุรี!L247"")"),380760)</f>
        <v>380760</v>
      </c>
      <c r="M352" s="165"/>
      <c r="N352" s="164">
        <f ca="1">IFERROR(__xludf.DUMMYFUNCTION("IMPORTRANGE(""https://docs.google.com/spreadsheets/d/1SX6NBoVAgQJ6U1MVXOaj8PK2l7WJ3RER9xtqwdhxkhw/edit?usp=sharing"",""กาญจนบุรี!M247"")"),154727)</f>
        <v>154727</v>
      </c>
      <c r="O352" s="165">
        <f t="shared" ca="1" si="105"/>
        <v>40.63635886122492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IFERROR(__xludf.DUMMYFUNCTION("IMPORTRANGE(""https://docs.google.com/spreadsheets/d/1SX6NBoVAgQJ6U1MVXOaj8PK2l7WJ3RER9xtqwdhxkhw/edit?usp=sharing"",""กาญจนบุรี!L248"")"),0)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IFERROR(__xludf.DUMMYFUNCTION("IMPORTRANGE(""https://docs.google.com/spreadsheets/d/1SX6NBoVAgQJ6U1MVXOaj8PK2l7WJ3RER9xtqwdhxkhw/edit?usp=sharing"",""กาญจนบุรี!M248"")"),0)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IFERROR(__xludf.DUMMYFUNCTION("IMPORTRANGE(""https://docs.google.com/spreadsheets/d/1SX6NBoVAgQJ6U1MVXOaj8PK2l7WJ3RER9xtqwdhxkhw/edit?usp=sharing"",""กาญจนบุรี!L249"")"),380760)</f>
        <v>380760</v>
      </c>
      <c r="M354" s="169"/>
      <c r="N354" s="168">
        <f ca="1">IFERROR(__xludf.DUMMYFUNCTION("IMPORTRANGE(""https://docs.google.com/spreadsheets/d/1SX6NBoVAgQJ6U1MVXOaj8PK2l7WJ3RER9xtqwdhxkhw/edit?usp=sharing"",""กาญจนบุรี!M249"")"),154727)</f>
        <v>154727</v>
      </c>
      <c r="O354" s="169">
        <f t="shared" ca="1" si="105"/>
        <v>40.63635886122492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IFERROR(__xludf.DUMMYFUNCTION("IMPORTRANGE(""https://docs.google.com/spreadsheets/d/1SX6NBoVAgQJ6U1MVXOaj8PK2l7WJ3RER9xtqwdhxkhw/edit?usp=sharing"",""กาญจนบุรี!M251"")"),33770)</f>
        <v>33770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IFERROR(__xludf.DUMMYFUNCTION("IMPORTRANGE(""https://docs.google.com/spreadsheets/d/1SX6NBoVAgQJ6U1MVXOaj8PK2l7WJ3RER9xtqwdhxkhw/edit?usp=sharing"",""กาญจนบุรี!M252"")"),73707)</f>
        <v>73707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IFERROR(__xludf.DUMMYFUNCTION("IMPORTRANGE(""https://docs.google.com/spreadsheets/d/1SX6NBoVAgQJ6U1MVXOaj8PK2l7WJ3RER9xtqwdhxkhw/edit?usp=sharing"",""กาญจนบุรี!M253"")"),15070)</f>
        <v>15070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IFERROR(__xludf.DUMMYFUNCTION("IMPORTRANGE(""https://docs.google.com/spreadsheets/d/1SX6NBoVAgQJ6U1MVXOaj8PK2l7WJ3RER9xtqwdhxkhw/edit?usp=sharing"",""กาญจนบุรี!J255"")"),0)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IFERROR(__xludf.DUMMYFUNCTION("IMPORTRANGE(""https://docs.google.com/spreadsheets/d/1SX6NBoVAgQJ6U1MVXOaj8PK2l7WJ3RER9xtqwdhxkhw/edit?usp=sharing"",""กาญจนบุรี!J256"")"),1)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IFERROR(__xludf.DUMMYFUNCTION("IMPORTRANGE(""https://docs.google.com/spreadsheets/d/1SX6NBoVAgQJ6U1MVXOaj8PK2l7WJ3RER9xtqwdhxkhw/edit?usp=sharing"",""กาญจนบุรี!J257"")"),1)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IFERROR(__xludf.DUMMYFUNCTION("IMPORTRANGE(""https://docs.google.com/spreadsheets/d/1SX6NBoVAgQJ6U1MVXOaj8PK2l7WJ3RER9xtqwdhxkhw/edit?usp=sharing"",""กาญจนบุรี!J258"")"),1)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IFERROR(__xludf.DUMMYFUNCTION("IMPORTRANGE(""https://docs.google.com/spreadsheets/d/1SX6NBoVAgQJ6U1MVXOaj8PK2l7WJ3RER9xtqwdhxkhw/edit?usp=sharing"",""กาญจนบุรี!J166"")"),0)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IFERROR(__xludf.DUMMYFUNCTION("IMPORTRANGE(""https://docs.google.com/spreadsheets/d/1SX6NBoVAgQJ6U1MVXOaj8PK2l7WJ3RER9xtqwdhxkhw/edit?usp=sharing"",""กาญจนบุรี!J166"")"),0)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IFERROR(__xludf.DUMMYFUNCTION("IMPORTRANGE(""https://docs.google.com/spreadsheets/d/1SX6NBoVAgQJ6U1MVXOaj8PK2l7WJ3RER9xtqwdhxkhw/edit?usp=sharing"",""กาญจนบุรี!J166"")"),0)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IFERROR(__xludf.DUMMYFUNCTION("IMPORTRANGE(""https://docs.google.com/spreadsheets/d/1SX6NBoVAgQJ6U1MVXOaj8PK2l7WJ3RER9xtqwdhxkhw/edit?usp=sharing"",""กาญจนบุรี!J166"")"),0)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IFERROR(__xludf.DUMMYFUNCTION("IMPORTRANGE(""https://docs.google.com/spreadsheets/d/1SX6NBoVAgQJ6U1MVXOaj8PK2l7WJ3RER9xtqwdhxkhw/edit?usp=sharing"",""กาญจนบุรี!I263"")"),30)</f>
        <v>30</v>
      </c>
      <c r="J368" s="188">
        <f ca="1">IFERROR(__xludf.DUMMYFUNCTION("IMPORTRANGE(""https://docs.google.com/spreadsheets/d/1SX6NBoVAgQJ6U1MVXOaj8PK2l7WJ3RER9xtqwdhxkhw/edit?usp=sharing"",""กาญจนบุรี!J263"")"),30)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IFERROR(__xludf.DUMMYFUNCTION("IMPORTRANGE(""https://docs.google.com/spreadsheets/d/1SX6NBoVAgQJ6U1MVXOaj8PK2l7WJ3RER9xtqwdhxkhw/edit?usp=sharing"",""กาญจนบุรี!I164"")"),0)</f>
        <v>0</v>
      </c>
      <c r="J369" s="204">
        <f ca="1">IFERROR(__xludf.DUMMYFUNCTION("IMPORTRANGE(""https://docs.google.com/spreadsheets/d/1SX6NBoVAgQJ6U1MVXOaj8PK2l7WJ3RER9xtqwdhxkhw/edit?usp=sharing"",""กาญจนบุรี!J164"")"),0)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IFERROR(__xludf.DUMMYFUNCTION("IMPORTRANGE(""https://docs.google.com/spreadsheets/d/1SX6NBoVAgQJ6U1MVXOaj8PK2l7WJ3RER9xtqwdhxkhw/edit?usp=sharing"",""กาญจนบุรี!I265"")"),30)</f>
        <v>30</v>
      </c>
      <c r="J370" s="204">
        <f ca="1">IFERROR(__xludf.DUMMYFUNCTION("IMPORTRANGE(""https://docs.google.com/spreadsheets/d/1SX6NBoVAgQJ6U1MVXOaj8PK2l7WJ3RER9xtqwdhxkhw/edit?usp=sharing"",""กาญจนบุรี!J265"")"),30)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IFERROR(__xludf.DUMMYFUNCTION("IMPORTRANGE(""https://docs.google.com/spreadsheets/d/1SX6NBoVAgQJ6U1MVXOaj8PK2l7WJ3RER9xtqwdhxkhw/edit?usp=sharing"",""กาญจนบุรี!I164"")"),0)</f>
        <v>0</v>
      </c>
      <c r="J371" s="189">
        <f ca="1">IFERROR(__xludf.DUMMYFUNCTION("IMPORTRANGE(""https://docs.google.com/spreadsheets/d/1SX6NBoVAgQJ6U1MVXOaj8PK2l7WJ3RER9xtqwdhxkhw/edit?usp=sharing"",""กาญจนบุรี!J164"")"),0)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IFERROR(__xludf.DUMMYFUNCTION("IMPORTRANGE(""https://docs.google.com/spreadsheets/d/1SX6NBoVAgQJ6U1MVXOaj8PK2l7WJ3RER9xtqwdhxkhw/edit?usp=sharing"",""กาญจนบุรี!I267"")"),30)</f>
        <v>30</v>
      </c>
      <c r="J372" s="189">
        <f ca="1">IFERROR(__xludf.DUMMYFUNCTION("IMPORTRANGE(""https://docs.google.com/spreadsheets/d/1SX6NBoVAgQJ6U1MVXOaj8PK2l7WJ3RER9xtqwdhxkhw/edit?usp=sharing"",""กาญจนบุรี!J267"")"),0)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IFERROR(__xludf.DUMMYFUNCTION("IMPORTRANGE(""https://docs.google.com/spreadsheets/d/1SX6NBoVAgQJ6U1MVXOaj8PK2l7WJ3RER9xtqwdhxkhw/edit?usp=sharing"",""กาญจนบุรี!I164"")"),0)</f>
        <v>0</v>
      </c>
      <c r="J373" s="204">
        <f ca="1">IFERROR(__xludf.DUMMYFUNCTION("IMPORTRANGE(""https://docs.google.com/spreadsheets/d/1SX6NBoVAgQJ6U1MVXOaj8PK2l7WJ3RER9xtqwdhxkhw/edit?usp=sharing"",""กาญจนบุรี!J164"")"),0)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IFERROR(__xludf.DUMMYFUNCTION("IMPORTRANGE(""https://docs.google.com/spreadsheets/d/1SX6NBoVAgQJ6U1MVXOaj8PK2l7WJ3RER9xtqwdhxkhw/edit?usp=sharing"",""กาญจนบุรี!I164"")"),0)</f>
        <v>0</v>
      </c>
      <c r="J374" s="188">
        <f ca="1">IFERROR(__xludf.DUMMYFUNCTION("IMPORTRANGE(""https://docs.google.com/spreadsheets/d/1SX6NBoVAgQJ6U1MVXOaj8PK2l7WJ3RER9xtqwdhxkhw/edit?usp=sharing"",""กาญจนบุรี!J164"")"),0)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IFERROR(__xludf.DUMMYFUNCTION("IMPORTRANGE(""https://docs.google.com/spreadsheets/d/1SX6NBoVAgQJ6U1MVXOaj8PK2l7WJ3RER9xtqwdhxkhw/edit?usp=sharing"",""กาญจนบุรี!I270"")"),150)</f>
        <v>150</v>
      </c>
      <c r="J375" s="188">
        <f ca="1">IFERROR(__xludf.DUMMYFUNCTION("IMPORTRANGE(""https://docs.google.com/spreadsheets/d/1SX6NBoVAgQJ6U1MVXOaj8PK2l7WJ3RER9xtqwdhxkhw/edit?usp=sharing"",""กาญจนบุรี!J270"")"),0)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IFERROR(__xludf.DUMMYFUNCTION("IMPORTRANGE(""https://docs.google.com/spreadsheets/d/1SX6NBoVAgQJ6U1MVXOaj8PK2l7WJ3RER9xtqwdhxkhw/edit?usp=sharing"",""กาญจนบุรี!I271"")"),150)</f>
        <v>150</v>
      </c>
      <c r="J376" s="189">
        <f ca="1">IFERROR(__xludf.DUMMYFUNCTION("IMPORTRANGE(""https://docs.google.com/spreadsheets/d/1SX6NBoVAgQJ6U1MVXOaj8PK2l7WJ3RER9xtqwdhxkhw/edit?usp=sharing"",""กาญจนบุรี!J271"")"),0)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IFERROR(__xludf.DUMMYFUNCTION("IMPORTRANGE(""https://docs.google.com/spreadsheets/d/1SX6NBoVAgQJ6U1MVXOaj8PK2l7WJ3RER9xtqwdhxkhw/edit?usp=sharing"",""กาญจนบุรี!I272"")"),0)</f>
        <v>0</v>
      </c>
      <c r="J377" s="204">
        <f ca="1">IFERROR(__xludf.DUMMYFUNCTION("IMPORTRANGE(""https://docs.google.com/spreadsheets/d/1SX6NBoVAgQJ6U1MVXOaj8PK2l7WJ3RER9xtqwdhxkhw/edit?usp=sharing"",""กาญจนบุรี!J272"")"),0)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IFERROR(__xludf.DUMMYFUNCTION("IMPORTRANGE(""https://docs.google.com/spreadsheets/d/1SX6NBoVAgQJ6U1MVXOaj8PK2l7WJ3RER9xtqwdhxkhw/edit?usp=sharing"",""กาญจนบุรี!J273"")"),0)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IFERROR(__xludf.DUMMYFUNCTION("IMPORTRANGE(""https://docs.google.com/spreadsheets/d/1SX6NBoVAgQJ6U1MVXOaj8PK2l7WJ3RER9xtqwdhxkhw/edit?usp=sharing"",""กาญจนบุรี!J274"")"),0)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IFERROR(__xludf.DUMMYFUNCTION("IMPORTRANGE(""https://docs.google.com/spreadsheets/d/1SX6NBoVAgQJ6U1MVXOaj8PK2l7WJ3RER9xtqwdhxkhw/edit?usp=sharing"",""กาญจนบุรี!M275"")"),296345.5)</f>
        <v>296345.5</v>
      </c>
      <c r="O380" s="373">
        <f ca="1">+IF(L380&gt;0,N380*100/L380,0)</f>
        <v>28.812808695990356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IFERROR(__xludf.DUMMYFUNCTION("IMPORTRANGE(""https://docs.google.com/spreadsheets/d/1SX6NBoVAgQJ6U1MVXOaj8PK2l7WJ3RER9xtqwdhxkhw/edit?usp=sharing"",""กาญจนบุรี!L277"")"),0)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IFERROR(__xludf.DUMMYFUNCTION("IMPORTRANGE(""https://docs.google.com/spreadsheets/d/1SX6NBoVAgQJ6U1MVXOaj8PK2l7WJ3RER9xtqwdhxkhw/edit?usp=sharing"",""กาญจนบุรี!M277"")"),0)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IFERROR(__xludf.DUMMYFUNCTION("IMPORTRANGE(""https://docs.google.com/spreadsheets/d/1SX6NBoVAgQJ6U1MVXOaj8PK2l7WJ3RER9xtqwdhxkhw/edit?usp=sharing"",""กาญจนบุรี!L278"")"),1028520)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IFERROR(__xludf.DUMMYFUNCTION("IMPORTRANGE(""https://docs.google.com/spreadsheets/d/1SX6NBoVAgQJ6U1MVXOaj8PK2l7WJ3RER9xtqwdhxkhw/edit?usp=sharing"",""กาญจนบุรี!M278"")"),296345.5)</f>
        <v>296345.5</v>
      </c>
      <c r="O383" s="165">
        <f t="shared" ca="1" si="109"/>
        <v>28.812808695990356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IFERROR(__xludf.DUMMYFUNCTION("IMPORTRANGE(""https://docs.google.com/spreadsheets/d/1SX6NBoVAgQJ6U1MVXOaj8PK2l7WJ3RER9xtqwdhxkhw/edit?usp=sharing"",""กาญจนบุรี!L279"")"),0)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IFERROR(__xludf.DUMMYFUNCTION("IMPORTRANGE(""https://docs.google.com/spreadsheets/d/1SX6NBoVAgQJ6U1MVXOaj8PK2l7WJ3RER9xtqwdhxkhw/edit?usp=sharing"",""กาญจนบุรี!M279"")"),0)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IFERROR(__xludf.DUMMYFUNCTION("IMPORTRANGE(""https://docs.google.com/spreadsheets/d/1SX6NBoVAgQJ6U1MVXOaj8PK2l7WJ3RER9xtqwdhxkhw/edit?usp=sharing"",""กาญจนบุรี!L280"")"),1028520)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IFERROR(__xludf.DUMMYFUNCTION("IMPORTRANGE(""https://docs.google.com/spreadsheets/d/1SX6NBoVAgQJ6U1MVXOaj8PK2l7WJ3RER9xtqwdhxkhw/edit?usp=sharing"",""กาญจนบุรี!M280"")"),296345.5)</f>
        <v>296345.5</v>
      </c>
      <c r="O385" s="169">
        <f t="shared" ca="1" si="109"/>
        <v>28.812808695990356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IFERROR(__xludf.DUMMYFUNCTION("IMPORTRANGE(""https://docs.google.com/spreadsheets/d/1SX6NBoVAgQJ6U1MVXOaj8PK2l7WJ3RER9xtqwdhxkhw/edit?usp=sharing"",""กาญจนบุรี!M282"")"),0)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IFERROR(__xludf.DUMMYFUNCTION("IMPORTRANGE(""https://docs.google.com/spreadsheets/d/1SX6NBoVAgQJ6U1MVXOaj8PK2l7WJ3RER9xtqwdhxkhw/edit?usp=sharing"",""กาญจนบุรี!M283"")"),76276)</f>
        <v>76276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IFERROR(__xludf.DUMMYFUNCTION("IMPORTRANGE(""https://docs.google.com/spreadsheets/d/1SX6NBoVAgQJ6U1MVXOaj8PK2l7WJ3RER9xtqwdhxkhw/edit?usp=sharing"",""กาญจนบุรี!M284"")"),32294)</f>
        <v>32294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IFERROR(__xludf.DUMMYFUNCTION("IMPORTRANGE(""https://docs.google.com/spreadsheets/d/1SX6NBoVAgQJ6U1MVXOaj8PK2l7WJ3RER9xtqwdhxkhw/edit?usp=sharing"",""กาญจนบุรี!J286"")"),0)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IFERROR(__xludf.DUMMYFUNCTION("IMPORTRANGE(""https://docs.google.com/spreadsheets/d/1SX6NBoVAgQJ6U1MVXOaj8PK2l7WJ3RER9xtqwdhxkhw/edit?usp=sharing"",""กาญจนบุรี!J287"")"),1)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IFERROR(__xludf.DUMMYFUNCTION("IMPORTRANGE(""https://docs.google.com/spreadsheets/d/1SX6NBoVAgQJ6U1MVXOaj8PK2l7WJ3RER9xtqwdhxkhw/edit?usp=sharing"",""กาญจนบุรี!J288"")"),1)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IFERROR(__xludf.DUMMYFUNCTION("IMPORTRANGE(""https://docs.google.com/spreadsheets/d/1SX6NBoVAgQJ6U1MVXOaj8PK2l7WJ3RER9xtqwdhxkhw/edit?usp=sharing"",""กาญจนบุรี!J289"")"),1)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IFERROR(__xludf.DUMMYFUNCTION("IMPORTRANGE(""https://docs.google.com/spreadsheets/d/1SX6NBoVAgQJ6U1MVXOaj8PK2l7WJ3RER9xtqwdhxkhw/edit?usp=sharing"",""กาญจนบุรี!I291"")"),100)</f>
        <v>100</v>
      </c>
      <c r="J396" s="198">
        <f ca="1">IFERROR(__xludf.DUMMYFUNCTION("IMPORTRANGE(""https://docs.google.com/spreadsheets/d/1SX6NBoVAgQJ6U1MVXOaj8PK2l7WJ3RER9xtqwdhxkhw/edit?usp=sharing"",""กาญจนบุรี!J291"")"),100)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IFERROR(__xludf.DUMMYFUNCTION("IMPORTRANGE(""https://docs.google.com/spreadsheets/d/1SX6NBoVAgQJ6U1MVXOaj8PK2l7WJ3RER9xtqwdhxkhw/edit?usp=sharing"",""กาญจนบุรี!I292"")"),1000)</f>
        <v>1000</v>
      </c>
      <c r="J397" s="198">
        <f ca="1">IFERROR(__xludf.DUMMYFUNCTION("IMPORTRANGE(""https://docs.google.com/spreadsheets/d/1SX6NBoVAgQJ6U1MVXOaj8PK2l7WJ3RER9xtqwdhxkhw/edit?usp=sharing"",""กาญจนบุรี!J292"")"),0)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IFERROR(__xludf.DUMMYFUNCTION("IMPORTRANGE(""https://docs.google.com/spreadsheets/d/1SX6NBoVAgQJ6U1MVXOaj8PK2l7WJ3RER9xtqwdhxkhw/edit?usp=sharing"",""กาญจนบุรี!I293"")"),100)</f>
        <v>100</v>
      </c>
      <c r="J398" s="198">
        <f ca="1">IFERROR(__xludf.DUMMYFUNCTION("IMPORTRANGE(""https://docs.google.com/spreadsheets/d/1SX6NBoVAgQJ6U1MVXOaj8PK2l7WJ3RER9xtqwdhxkhw/edit?usp=sharing"",""กาญจนบุรี!J293"")"),0)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IFERROR(__xludf.DUMMYFUNCTION("IMPORTRANGE(""https://docs.google.com/spreadsheets/d/1SX6NBoVAgQJ6U1MVXOaj8PK2l7WJ3RER9xtqwdhxkhw/edit?usp=sharing"",""กาญจนบุรี!J294"")"),0)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IFERROR(__xludf.DUMMYFUNCTION("IMPORTRANGE(""https://docs.google.com/spreadsheets/d/1SX6NBoVAgQJ6U1MVXOaj8PK2l7WJ3RER9xtqwdhxkhw/edit?usp=sharing"",""กาญจนบุรี!J295"")"),0)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IFERROR(__xludf.DUMMYFUNCTION("IMPORTRANGE(""https://docs.google.com/spreadsheets/d/1SX6NBoVAgQJ6U1MVXOaj8PK2l7WJ3RER9xtqwdhxkhw/edit?usp=sharing"",""กาญจนบุรี!J296"")"),144)</f>
        <v>144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IFERROR(__xludf.DUMMYFUNCTION("IMPORTRANGE(""https://docs.google.com/spreadsheets/d/1SX6NBoVAgQJ6U1MVXOaj8PK2l7WJ3RER9xtqwdhxkhw/edit?usp=sharing"",""กาญจนบุรี!M296"")"),16440.32)</f>
        <v>16440.32</v>
      </c>
      <c r="O401" s="373">
        <f ca="1">+IF(L401&gt;0,N401*100/L401,0)</f>
        <v>9.7170754772740704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IFERROR(__xludf.DUMMYFUNCTION("IMPORTRANGE(""https://docs.google.com/spreadsheets/d/1SX6NBoVAgQJ6U1MVXOaj8PK2l7WJ3RER9xtqwdhxkhw/edit?usp=sharing"",""กาญจนบุรี!L298"")"),0)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IFERROR(__xludf.DUMMYFUNCTION("IMPORTRANGE(""https://docs.google.com/spreadsheets/d/1SX6NBoVAgQJ6U1MVXOaj8PK2l7WJ3RER9xtqwdhxkhw/edit?usp=sharing"",""กาญจนบุรี!M298"")"),0)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IFERROR(__xludf.DUMMYFUNCTION("IMPORTRANGE(""https://docs.google.com/spreadsheets/d/1SX6NBoVAgQJ6U1MVXOaj8PK2l7WJ3RER9xtqwdhxkhw/edit?usp=sharing"",""กาญจนบุรี!L299"")"),169190)</f>
        <v>169190</v>
      </c>
      <c r="M404" s="165"/>
      <c r="N404" s="169">
        <f ca="1">IFERROR(__xludf.DUMMYFUNCTION("IMPORTRANGE(""https://docs.google.com/spreadsheets/d/1SX6NBoVAgQJ6U1MVXOaj8PK2l7WJ3RER9xtqwdhxkhw/edit?usp=sharing"",""กาญจนบุรี!M299"")"),16440.32)</f>
        <v>16440.32</v>
      </c>
      <c r="O404" s="169">
        <f t="shared" ca="1" si="112"/>
        <v>9.7170754772740704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IFERROR(__xludf.DUMMYFUNCTION("IMPORTRANGE(""https://docs.google.com/spreadsheets/d/1SX6NBoVAgQJ6U1MVXOaj8PK2l7WJ3RER9xtqwdhxkhw/edit?usp=sharing"",""กาญจนบุรี!L300"")"),0)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IFERROR(__xludf.DUMMYFUNCTION("IMPORTRANGE(""https://docs.google.com/spreadsheets/d/1SX6NBoVAgQJ6U1MVXOaj8PK2l7WJ3RER9xtqwdhxkhw/edit?usp=sharing"",""กาญจนบุรี!M300"")"),0)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IFERROR(__xludf.DUMMYFUNCTION("IMPORTRANGE(""https://docs.google.com/spreadsheets/d/1SX6NBoVAgQJ6U1MVXOaj8PK2l7WJ3RER9xtqwdhxkhw/edit?usp=sharing"",""กาญจนบุรี!L301"")"),169190)</f>
        <v>169190</v>
      </c>
      <c r="M406" s="169"/>
      <c r="N406" s="169">
        <f ca="1">IFERROR(__xludf.DUMMYFUNCTION("IMPORTRANGE(""https://docs.google.com/spreadsheets/d/1SX6NBoVAgQJ6U1MVXOaj8PK2l7WJ3RER9xtqwdhxkhw/edit?usp=sharing"",""กาญจนบุรี!M301"")"),16440.32)</f>
        <v>16440.32</v>
      </c>
      <c r="O406" s="169">
        <f t="shared" ca="1" si="112"/>
        <v>9.7170754772740704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IFERROR(__xludf.DUMMYFUNCTION("IMPORTRANGE(""https://docs.google.com/spreadsheets/d/1SX6NBoVAgQJ6U1MVXOaj8PK2l7WJ3RER9xtqwdhxkhw/edit?usp=sharing"",""กาญจนบุรี!M302"")"),12460.32)</f>
        <v>12460.32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IFERROR(__xludf.DUMMYFUNCTION("IMPORTRANGE(""https://docs.google.com/spreadsheets/d/1SX6NBoVAgQJ6U1MVXOaj8PK2l7WJ3RER9xtqwdhxkhw/edit?usp=sharing"",""กาญจนบุรี!M303"")"),0)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IFERROR(__xludf.DUMMYFUNCTION("IMPORTRANGE(""https://docs.google.com/spreadsheets/d/1SX6NBoVAgQJ6U1MVXOaj8PK2l7WJ3RER9xtqwdhxkhw/edit?usp=sharing"",""กาญจนบุรี!M305"")"),3980)</f>
        <v>3980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IFERROR(__xludf.DUMMYFUNCTION("IMPORTRANGE(""https://docs.google.com/spreadsheets/d/1SX6NBoVAgQJ6U1MVXOaj8PK2l7WJ3RER9xtqwdhxkhw/edit?usp=sharing"",""กาญจนบุรี!J307"")"),0)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IFERROR(__xludf.DUMMYFUNCTION("IMPORTRANGE(""https://docs.google.com/spreadsheets/d/1SX6NBoVAgQJ6U1MVXOaj8PK2l7WJ3RER9xtqwdhxkhw/edit?usp=sharing"",""กาญจนบุรี!J308"")"),1)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IFERROR(__xludf.DUMMYFUNCTION("IMPORTRANGE(""https://docs.google.com/spreadsheets/d/1SX6NBoVAgQJ6U1MVXOaj8PK2l7WJ3RER9xtqwdhxkhw/edit?usp=sharing"",""กาญจนบุรี!J309"")"),1)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IFERROR(__xludf.DUMMYFUNCTION("IMPORTRANGE(""https://docs.google.com/spreadsheets/d/1SX6NBoVAgQJ6U1MVXOaj8PK2l7WJ3RER9xtqwdhxkhw/edit?usp=sharing"",""กาญจนบุรี!J310"")"),1)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IFERROR(__xludf.DUMMYFUNCTION("IMPORTRANGE(""https://docs.google.com/spreadsheets/d/1SX6NBoVAgQJ6U1MVXOaj8PK2l7WJ3RER9xtqwdhxkhw/edit?usp=sharing"",""กาญจนบุรี!I311"")"),48)</f>
        <v>48</v>
      </c>
      <c r="J416" s="201">
        <f ca="1">IFERROR(__xludf.DUMMYFUNCTION("IMPORTRANGE(""https://docs.google.com/spreadsheets/d/1SX6NBoVAgQJ6U1MVXOaj8PK2l7WJ3RER9xtqwdhxkhw/edit?usp=sharing"",""กาญจนบุรี!J311"")"),0)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IFERROR(__xludf.DUMMYFUNCTION("IMPORTRANGE(""https://docs.google.com/spreadsheets/d/1SX6NBoVAgQJ6U1MVXOaj8PK2l7WJ3RER9xtqwdhxkhw/edit?usp=sharing"",""กาญจนบุรี!J328"")"),0)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IFERROR(__xludf.DUMMYFUNCTION("IMPORTRANGE(""https://docs.google.com/spreadsheets/d/1SX6NBoVAgQJ6U1MVXOaj8PK2l7WJ3RER9xtqwdhxkhw/edit?usp=sharing"",""กาญจนบุรี!J329"")"),0)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IFERROR(__xludf.DUMMYFUNCTION("IMPORTRANGE(""https://docs.google.com/spreadsheets/d/1SX6NBoVAgQJ6U1MVXOaj8PK2l7WJ3RER9xtqwdhxkhw/edit?usp=sharing"",""กาญจนบุรี!M330"")"),70616.29)</f>
        <v>70616.289999999994</v>
      </c>
      <c r="O435" s="412">
        <f t="shared" ref="O435:O439" ca="1" si="114">+IF(L435&gt;0,N435*100/L435,0)</f>
        <v>49.039090277777774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IFERROR(__xludf.DUMMYFUNCTION("IMPORTRANGE(""https://docs.google.com/spreadsheets/d/1SX6NBoVAgQJ6U1MVXOaj8PK2l7WJ3RER9xtqwdhxkhw/edit?usp=sharing"",""กาญจนบุรี!L331"")"),0)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IFERROR(__xludf.DUMMYFUNCTION("IMPORTRANGE(""https://docs.google.com/spreadsheets/d/1SX6NBoVAgQJ6U1MVXOaj8PK2l7WJ3RER9xtqwdhxkhw/edit?usp=sharing"",""กาญจนบุรี!M331"")"),0)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IFERROR(__xludf.DUMMYFUNCTION("IMPORTRANGE(""https://docs.google.com/spreadsheets/d/1SX6NBoVAgQJ6U1MVXOaj8PK2l7WJ3RER9xtqwdhxkhw/edit?usp=sharing"",""กาญจนบุรี!L332"")"),144000)</f>
        <v>144000</v>
      </c>
      <c r="M437" s="165"/>
      <c r="N437" s="169">
        <f ca="1">IFERROR(__xludf.DUMMYFUNCTION("IMPORTRANGE(""https://docs.google.com/spreadsheets/d/1SX6NBoVAgQJ6U1MVXOaj8PK2l7WJ3RER9xtqwdhxkhw/edit?usp=sharing"",""กาญจนบุรี!M332"")"),70616.29)</f>
        <v>70616.289999999994</v>
      </c>
      <c r="O437" s="169">
        <f t="shared" ca="1" si="114"/>
        <v>49.039090277777774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IFERROR(__xludf.DUMMYFUNCTION("IMPORTRANGE(""https://docs.google.com/spreadsheets/d/1SX6NBoVAgQJ6U1MVXOaj8PK2l7WJ3RER9xtqwdhxkhw/edit?usp=sharing"",""กาญจนบุรี!L333"")"),0)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IFERROR(__xludf.DUMMYFUNCTION("IMPORTRANGE(""https://docs.google.com/spreadsheets/d/1SX6NBoVAgQJ6U1MVXOaj8PK2l7WJ3RER9xtqwdhxkhw/edit?usp=sharing"",""กาญจนบุรี!M333"")"),0)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IFERROR(__xludf.DUMMYFUNCTION("IMPORTRANGE(""https://docs.google.com/spreadsheets/d/1SX6NBoVAgQJ6U1MVXOaj8PK2l7WJ3RER9xtqwdhxkhw/edit?usp=sharing"",""กาญจนบุรี!L334"")"),144000)</f>
        <v>144000</v>
      </c>
      <c r="M439" s="169"/>
      <c r="N439" s="169">
        <f ca="1">IFERROR(__xludf.DUMMYFUNCTION("IMPORTRANGE(""https://docs.google.com/spreadsheets/d/1SX6NBoVAgQJ6U1MVXOaj8PK2l7WJ3RER9xtqwdhxkhw/edit?usp=sharing"",""กาญจนบุรี!M334"")"),70616.29)</f>
        <v>70616.289999999994</v>
      </c>
      <c r="O439" s="169">
        <f t="shared" ca="1" si="114"/>
        <v>49.039090277777774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IFERROR(__xludf.DUMMYFUNCTION("IMPORTRANGE(""https://docs.google.com/spreadsheets/d/1SX6NBoVAgQJ6U1MVXOaj8PK2l7WJ3RER9xtqwdhxkhw/edit?usp=sharing"",""กาญจนบุรี!M338"")"),8915)</f>
        <v>8915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IFERROR(__xludf.DUMMYFUNCTION("IMPORTRANGE(""https://docs.google.com/spreadsheets/d/1SX6NBoVAgQJ6U1MVXOaj8PK2l7WJ3RER9xtqwdhxkhw/edit?usp=sharing"",""กาญจนบุรี!J340"")"),0)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IFERROR(__xludf.DUMMYFUNCTION("IMPORTRANGE(""https://docs.google.com/spreadsheets/d/1SX6NBoVAgQJ6U1MVXOaj8PK2l7WJ3RER9xtqwdhxkhw/edit?usp=sharing"",""กาญจนบุรี!J342"")"),1)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IFERROR(__xludf.DUMMYFUNCTION("IMPORTRANGE(""https://docs.google.com/spreadsheets/d/1SX6NBoVAgQJ6U1MVXOaj8PK2l7WJ3RER9xtqwdhxkhw/edit?usp=sharing"",""กาญจนบุรี!J343"")"),1)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1">
        <f ca="1">IFERROR(__xludf.DUMMYFUNCTION("IMPORTRANGE(""https://docs.google.com/spreadsheets/d/1SX6NBoVAgQJ6U1MVXOaj8PK2l7WJ3RER9xtqwdhxkhw/edit?usp=sharing"",""กาญจนบุรี!J344"")"),40)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IFERROR(__xludf.DUMMYFUNCTION("IMPORTRANGE(""https://docs.google.com/spreadsheets/d/1SX6NBoVAgQJ6U1MVXOaj8PK2l7WJ3RER9xtqwdhxkhw/edit?usp=sharing"",""กาญจนบุรี!I345"")"),40)</f>
        <v>40</v>
      </c>
      <c r="J450" s="189">
        <f ca="1">IFERROR(__xludf.DUMMYFUNCTION("IMPORTRANGE(""https://docs.google.com/spreadsheets/d/1SX6NBoVAgQJ6U1MVXOaj8PK2l7WJ3RER9xtqwdhxkhw/edit?usp=sharing"",""กาญจนบุรี!J345"")"),40)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IFERROR(__xludf.DUMMYFUNCTION("IMPORTRANGE(""https://docs.google.com/spreadsheets/d/1SX6NBoVAgQJ6U1MVXOaj8PK2l7WJ3RER9xtqwdhxkhw/edit?usp=sharing"",""กาญจนบุรี!I346"")"),0)</f>
        <v>0</v>
      </c>
      <c r="J451" s="188">
        <f ca="1">IFERROR(__xludf.DUMMYFUNCTION("IMPORTRANGE(""https://docs.google.com/spreadsheets/d/1SX6NBoVAgQJ6U1MVXOaj8PK2l7WJ3RER9xtqwdhxkhw/edit?usp=sharing"",""กาญจนบุรี!J346"")"),0)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IFERROR(__xludf.DUMMYFUNCTION("IMPORTRANGE(""https://docs.google.com/spreadsheets/d/1SX6NBoVAgQJ6U1MVXOaj8PK2l7WJ3RER9xtqwdhxkhw/edit?usp=sharing"",""กาญจนบุรี!I347"")"),0)</f>
        <v>0</v>
      </c>
      <c r="J452" s="188">
        <f ca="1">IFERROR(__xludf.DUMMYFUNCTION("IMPORTRANGE(""https://docs.google.com/spreadsheets/d/1SX6NBoVAgQJ6U1MVXOaj8PK2l7WJ3RER9xtqwdhxkhw/edit?usp=sharing"",""กาญจนบุรี!J347"")"),0)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IFERROR(__xludf.DUMMYFUNCTION("IMPORTRANGE(""https://docs.google.com/spreadsheets/d/1SX6NBoVAgQJ6U1MVXOaj8PK2l7WJ3RER9xtqwdhxkhw/edit?usp=sharing"",""กาญจนบุรี!J348"")"),0)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IFERROR(__xludf.DUMMYFUNCTION("IMPORTRANGE(""https://docs.google.com/spreadsheets/d/1SX6NBoVAgQJ6U1MVXOaj8PK2l7WJ3RER9xtqwdhxkhw/edit?usp=sharing"",""กาญจนบุรี!J349"")"),0)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IFERROR(__xludf.DUMMYFUNCTION("IMPORTRANGE(""https://docs.google.com/spreadsheets/d/1SX6NBoVAgQJ6U1MVXOaj8PK2l7WJ3RER9xtqwdhxkhw/edit?usp=sharing"",""กาญจนบุรี!L350"")"),1117828)</f>
        <v>1117828</v>
      </c>
      <c r="M455" s="373"/>
      <c r="N455" s="373">
        <f ca="1">IFERROR(__xludf.DUMMYFUNCTION("IMPORTRANGE(""https://docs.google.com/spreadsheets/d/1SX6NBoVAgQJ6U1MVXOaj8PK2l7WJ3RER9xtqwdhxkhw/edit?usp=sharing"",""กาญจนบุรี!M350"")"),171373.36)</f>
        <v>171373.36</v>
      </c>
      <c r="O455" s="373">
        <f t="shared" ref="O455:O459" ca="1" si="116">+IF(L455&gt;0,N455*100/L455,0)</f>
        <v>15.330923898846692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IFERROR(__xludf.DUMMYFUNCTION("IMPORTRANGE(""https://docs.google.com/spreadsheets/d/1SX6NBoVAgQJ6U1MVXOaj8PK2l7WJ3RER9xtqwdhxkhw/edit?usp=sharing"",""กาญจนบุรี!L351"")"),0)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IFERROR(__xludf.DUMMYFUNCTION("IMPORTRANGE(""https://docs.google.com/spreadsheets/d/1SX6NBoVAgQJ6U1MVXOaj8PK2l7WJ3RER9xtqwdhxkhw/edit?usp=sharing"",""กาญจนบุรี!M351"")"),0)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IFERROR(__xludf.DUMMYFUNCTION("IMPORTRANGE(""https://docs.google.com/spreadsheets/d/1SX6NBoVAgQJ6U1MVXOaj8PK2l7WJ3RER9xtqwdhxkhw/edit?usp=sharing"",""กาญจนบุรี!L352"")"),1117828)</f>
        <v>1117828</v>
      </c>
      <c r="M457" s="165"/>
      <c r="N457" s="169">
        <f ca="1">IFERROR(__xludf.DUMMYFUNCTION("IMPORTRANGE(""https://docs.google.com/spreadsheets/d/1SX6NBoVAgQJ6U1MVXOaj8PK2l7WJ3RER9xtqwdhxkhw/edit?usp=sharing"",""กาญจนบุรี!M352"")"),171373.36)</f>
        <v>171373.36</v>
      </c>
      <c r="O457" s="169">
        <f t="shared" ca="1" si="116"/>
        <v>15.330923898846692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IFERROR(__xludf.DUMMYFUNCTION("IMPORTRANGE(""https://docs.google.com/spreadsheets/d/1SX6NBoVAgQJ6U1MVXOaj8PK2l7WJ3RER9xtqwdhxkhw/edit?usp=sharing"",""กาญจนบุรี!L353"")"),0)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IFERROR(__xludf.DUMMYFUNCTION("IMPORTRANGE(""https://docs.google.com/spreadsheets/d/1SX6NBoVAgQJ6U1MVXOaj8PK2l7WJ3RER9xtqwdhxkhw/edit?usp=sharing"",""กาญจนบุรี!M353"")"),0)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IFERROR(__xludf.DUMMYFUNCTION("IMPORTRANGE(""https://docs.google.com/spreadsheets/d/1SX6NBoVAgQJ6U1MVXOaj8PK2l7WJ3RER9xtqwdhxkhw/edit?usp=sharing"",""กาญจนบุรี!L354"")"),1117828)</f>
        <v>1117828</v>
      </c>
      <c r="M459" s="169"/>
      <c r="N459" s="169">
        <f ca="1">IFERROR(__xludf.DUMMYFUNCTION("IMPORTRANGE(""https://docs.google.com/spreadsheets/d/1SX6NBoVAgQJ6U1MVXOaj8PK2l7WJ3RER9xtqwdhxkhw/edit?usp=sharing"",""กาญจนบุรี!M354"")"),171373.36)</f>
        <v>171373.36</v>
      </c>
      <c r="O459" s="169">
        <f t="shared" ca="1" si="116"/>
        <v>15.330923898846692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IFERROR(__xludf.DUMMYFUNCTION("IMPORTRANGE(""https://docs.google.com/spreadsheets/d/1SX6NBoVAgQJ6U1MVXOaj8PK2l7WJ3RER9xtqwdhxkhw/edit?usp=sharing"",""กาญจนบุรี!M355"")"),0)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IFERROR(__xludf.DUMMYFUNCTION("IMPORTRANGE(""https://docs.google.com/spreadsheets/d/1SX6NBoVAgQJ6U1MVXOaj8PK2l7WJ3RER9xtqwdhxkhw/edit?usp=sharing"",""กาญจนบุรี!M356"")"),0)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IFERROR(__xludf.DUMMYFUNCTION("IMPORTRANGE(""https://docs.google.com/spreadsheets/d/1SX6NBoVAgQJ6U1MVXOaj8PK2l7WJ3RER9xtqwdhxkhw/edit?usp=sharing"",""กาญจนบุรี!M357"")"),76276)</f>
        <v>76276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IFERROR(__xludf.DUMMYFUNCTION("IMPORTRANGE(""https://docs.google.com/spreadsheets/d/1SX6NBoVAgQJ6U1MVXOaj8PK2l7WJ3RER9xtqwdhxkhw/edit?usp=sharing"",""กาญจนบุรี!M358"")"),95097.36)</f>
        <v>95097.36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IFERROR(__xludf.DUMMYFUNCTION("IMPORTRANGE(""https://docs.google.com/spreadsheets/d/1SX6NBoVAgQJ6U1MVXOaj8PK2l7WJ3RER9xtqwdhxkhw/edit?usp=sharing"",""กาญจนบุรี!I359"")"),186125)</f>
        <v>186125</v>
      </c>
      <c r="J464" s="268">
        <f ca="1">IFERROR(__xludf.DUMMYFUNCTION("IMPORTRANGE(""https://docs.google.com/spreadsheets/d/1SX6NBoVAgQJ6U1MVXOaj8PK2l7WJ3RER9xtqwdhxkhw/edit?usp=sharing"",""กาญจนบุรี!J359"")"),0)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IFERROR(__xludf.DUMMYFUNCTION("IMPORTRANGE(""https://docs.google.com/spreadsheets/d/1SX6NBoVAgQJ6U1MVXOaj8PK2l7WJ3RER9xtqwdhxkhw/edit?usp=sharing"",""กาญจนบุรี!J360"")"),186124)</f>
        <v>186124</v>
      </c>
      <c r="K465" s="202">
        <f t="shared" ca="1" si="117"/>
        <v>99.999462726662188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IFERROR(__xludf.DUMMYFUNCTION("IMPORTRANGE(""https://docs.google.com/spreadsheets/d/1SX6NBoVAgQJ6U1MVXOaj8PK2l7WJ3RER9xtqwdhxkhw/edit?usp=sharing"",""กาญจนบุรี!J361"")"),13419)</f>
        <v>13419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IFERROR(__xludf.DUMMYFUNCTION("IMPORTRANGE(""https://docs.google.com/spreadsheets/d/1SX6NBoVAgQJ6U1MVXOaj8PK2l7WJ3RER9xtqwdhxkhw/edit?usp=sharing"",""กาญจนบุรี!I362"")"),0)</f>
        <v>0</v>
      </c>
      <c r="J467" s="189">
        <f ca="1">IFERROR(__xludf.DUMMYFUNCTION("IMPORTRANGE(""https://docs.google.com/spreadsheets/d/1SX6NBoVAgQJ6U1MVXOaj8PK2l7WJ3RER9xtqwdhxkhw/edit?usp=sharing"",""กาญจนบุรี!J362"")"),144509)</f>
        <v>144509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IFERROR(__xludf.DUMMYFUNCTION("IMPORTRANGE(""https://docs.google.com/spreadsheets/d/1SX6NBoVAgQJ6U1MVXOaj8PK2l7WJ3RER9xtqwdhxkhw/edit?usp=sharing"",""กาญจนบุรี!I363"")"),0)</f>
        <v>0</v>
      </c>
      <c r="J468" s="189">
        <f ca="1">IFERROR(__xludf.DUMMYFUNCTION("IMPORTRANGE(""https://docs.google.com/spreadsheets/d/1SX6NBoVAgQJ6U1MVXOaj8PK2l7WJ3RER9xtqwdhxkhw/edit?usp=sharing"",""กาญจนบุรี!J363"")"),10866)</f>
        <v>10866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IFERROR(__xludf.DUMMYFUNCTION("IMPORTRANGE(""https://docs.google.com/spreadsheets/d/1SX6NBoVAgQJ6U1MVXOaj8PK2l7WJ3RER9xtqwdhxkhw/edit?usp=sharing"",""กาญจนบุรี!I364"")"),0)</f>
        <v>0</v>
      </c>
      <c r="J469" s="189">
        <f ca="1">IFERROR(__xludf.DUMMYFUNCTION("IMPORTRANGE(""https://docs.google.com/spreadsheets/d/1SX6NBoVAgQJ6U1MVXOaj8PK2l7WJ3RER9xtqwdhxkhw/edit?usp=sharing"",""กาญจนบุรี!J364"")"),36395)</f>
        <v>36395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IFERROR(__xludf.DUMMYFUNCTION("IMPORTRANGE(""https://docs.google.com/spreadsheets/d/1SX6NBoVAgQJ6U1MVXOaj8PK2l7WJ3RER9xtqwdhxkhw/edit?usp=sharing"",""กาญจนบุรี!I365"")"),0)</f>
        <v>0</v>
      </c>
      <c r="J470" s="189">
        <f ca="1">IFERROR(__xludf.DUMMYFUNCTION("IMPORTRANGE(""https://docs.google.com/spreadsheets/d/1SX6NBoVAgQJ6U1MVXOaj8PK2l7WJ3RER9xtqwdhxkhw/edit?usp=sharing"",""กาญจนบุรี!J365"")"),2185)</f>
        <v>2185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IFERROR(__xludf.DUMMYFUNCTION("IMPORTRANGE(""https://docs.google.com/spreadsheets/d/1SX6NBoVAgQJ6U1MVXOaj8PK2l7WJ3RER9xtqwdhxkhw/edit?usp=sharing"",""กาญจนบุรี!I366"")"),0)</f>
        <v>0</v>
      </c>
      <c r="J471" s="189">
        <f ca="1">IFERROR(__xludf.DUMMYFUNCTION("IMPORTRANGE(""https://docs.google.com/spreadsheets/d/1SX6NBoVAgQJ6U1MVXOaj8PK2l7WJ3RER9xtqwdhxkhw/edit?usp=sharing"",""กาญจนบุรี!J366"")"),5220)</f>
        <v>5220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IFERROR(__xludf.DUMMYFUNCTION("IMPORTRANGE(""https://docs.google.com/spreadsheets/d/1SX6NBoVAgQJ6U1MVXOaj8PK2l7WJ3RER9xtqwdhxkhw/edit?usp=sharing"",""กาญจนบุรี!I367"")"),0)</f>
        <v>0</v>
      </c>
      <c r="J472" s="189">
        <f ca="1">IFERROR(__xludf.DUMMYFUNCTION("IMPORTRANGE(""https://docs.google.com/spreadsheets/d/1SX6NBoVAgQJ6U1MVXOaj8PK2l7WJ3RER9xtqwdhxkhw/edit?usp=sharing"",""กาญจนบุรี!J367"")"),368)</f>
        <v>368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IFERROR(__xludf.DUMMYFUNCTION("IMPORTRANGE(""https://docs.google.com/spreadsheets/d/1SX6NBoVAgQJ6U1MVXOaj8PK2l7WJ3RER9xtqwdhxkhw/edit?usp=sharing"",""กาญจนบุรี!I370"")"),0)</f>
        <v>0</v>
      </c>
      <c r="J475" s="189">
        <f ca="1">IFERROR(__xludf.DUMMYFUNCTION("IMPORTRANGE(""https://docs.google.com/spreadsheets/d/1SX6NBoVAgQJ6U1MVXOaj8PK2l7WJ3RER9xtqwdhxkhw/edit?usp=sharing"",""กาญจนบุรี!J370"")"),0)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IFERROR(__xludf.DUMMYFUNCTION("IMPORTRANGE(""https://docs.google.com/spreadsheets/d/1SX6NBoVAgQJ6U1MVXOaj8PK2l7WJ3RER9xtqwdhxkhw/edit?usp=sharing"",""กาญจนบุรี!I371"")"),0)</f>
        <v>0</v>
      </c>
      <c r="J476" s="189">
        <f ca="1">IFERROR(__xludf.DUMMYFUNCTION("IMPORTRANGE(""https://docs.google.com/spreadsheets/d/1SX6NBoVAgQJ6U1MVXOaj8PK2l7WJ3RER9xtqwdhxkhw/edit?usp=sharing"",""กาญจนบุรี!J371"")"),0)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IFERROR(__xludf.DUMMYFUNCTION("IMPORTRANGE(""https://docs.google.com/spreadsheets/d/1SX6NBoVAgQJ6U1MVXOaj8PK2l7WJ3RER9xtqwdhxkhw/edit?usp=sharing"",""กาญจนบุรี!I372"")"),0)</f>
        <v>0</v>
      </c>
      <c r="J477" s="189">
        <f ca="1">IFERROR(__xludf.DUMMYFUNCTION("IMPORTRANGE(""https://docs.google.com/spreadsheets/d/1SX6NBoVAgQJ6U1MVXOaj8PK2l7WJ3RER9xtqwdhxkhw/edit?usp=sharing"",""กาญจนบุรี!J372"")"),0)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IFERROR(__xludf.DUMMYFUNCTION("IMPORTRANGE(""https://docs.google.com/spreadsheets/d/1SX6NBoVAgQJ6U1MVXOaj8PK2l7WJ3RER9xtqwdhxkhw/edit?usp=sharing"",""กาญจนบุรี!I373"")"),0)</f>
        <v>0</v>
      </c>
      <c r="J478" s="189">
        <f ca="1">IFERROR(__xludf.DUMMYFUNCTION("IMPORTRANGE(""https://docs.google.com/spreadsheets/d/1SX6NBoVAgQJ6U1MVXOaj8PK2l7WJ3RER9xtqwdhxkhw/edit?usp=sharing"",""กาญจนบุรี!J373"")"),0)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IFERROR(__xludf.DUMMYFUNCTION("IMPORTRANGE(""https://docs.google.com/spreadsheets/d/1SX6NBoVAgQJ6U1MVXOaj8PK2l7WJ3RER9xtqwdhxkhw/edit?usp=sharing"",""กาญจนบุรี!I374"")"),0)</f>
        <v>0</v>
      </c>
      <c r="J479" s="189">
        <f ca="1">IFERROR(__xludf.DUMMYFUNCTION("IMPORTRANGE(""https://docs.google.com/spreadsheets/d/1SX6NBoVAgQJ6U1MVXOaj8PK2l7WJ3RER9xtqwdhxkhw/edit?usp=sharing"",""กาญจนบุรี!J374"")"),0)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IFERROR(__xludf.DUMMYFUNCTION("IMPORTRANGE(""https://docs.google.com/spreadsheets/d/1SX6NBoVAgQJ6U1MVXOaj8PK2l7WJ3RER9xtqwdhxkhw/edit?usp=sharing"",""กาญจนบุรี!I375"")"),0)</f>
        <v>0</v>
      </c>
      <c r="J480" s="189">
        <f ca="1">IFERROR(__xludf.DUMMYFUNCTION("IMPORTRANGE(""https://docs.google.com/spreadsheets/d/1SX6NBoVAgQJ6U1MVXOaj8PK2l7WJ3RER9xtqwdhxkhw/edit?usp=sharing"",""กาญจนบุรี!J375"")"),0)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IFERROR(__xludf.DUMMYFUNCTION("IMPORTRANGE(""https://docs.google.com/spreadsheets/d/1SX6NBoVAgQJ6U1MVXOaj8PK2l7WJ3RER9xtqwdhxkhw/edit?usp=sharing"",""กาญจนบุรี!I378"")"),0)</f>
        <v>0</v>
      </c>
      <c r="J483" s="189">
        <f ca="1">IFERROR(__xludf.DUMMYFUNCTION("IMPORTRANGE(""https://docs.google.com/spreadsheets/d/1SX6NBoVAgQJ6U1MVXOaj8PK2l7WJ3RER9xtqwdhxkhw/edit?usp=sharing"",""กาญจนบุรี!J378"")"),0)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IFERROR(__xludf.DUMMYFUNCTION("IMPORTRANGE(""https://docs.google.com/spreadsheets/d/1SX6NBoVAgQJ6U1MVXOaj8PK2l7WJ3RER9xtqwdhxkhw/edit?usp=sharing"",""กาญจนบุรี!I379"")"),0)</f>
        <v>0</v>
      </c>
      <c r="J484" s="189">
        <f ca="1">IFERROR(__xludf.DUMMYFUNCTION("IMPORTRANGE(""https://docs.google.com/spreadsheets/d/1SX6NBoVAgQJ6U1MVXOaj8PK2l7WJ3RER9xtqwdhxkhw/edit?usp=sharing"",""กาญจนบุรี!J379"")"),0)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IFERROR(__xludf.DUMMYFUNCTION("IMPORTRANGE(""https://docs.google.com/spreadsheets/d/1SX6NBoVAgQJ6U1MVXOaj8PK2l7WJ3RER9xtqwdhxkhw/edit?usp=sharing"",""กาญจนบุรี!I380"")"),0)</f>
        <v>0</v>
      </c>
      <c r="J485" s="189">
        <f ca="1">IFERROR(__xludf.DUMMYFUNCTION("IMPORTRANGE(""https://docs.google.com/spreadsheets/d/1SX6NBoVAgQJ6U1MVXOaj8PK2l7WJ3RER9xtqwdhxkhw/edit?usp=sharing"",""กาญจนบุรี!J380"")"),0)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IFERROR(__xludf.DUMMYFUNCTION("IMPORTRANGE(""https://docs.google.com/spreadsheets/d/1SX6NBoVAgQJ6U1MVXOaj8PK2l7WJ3RER9xtqwdhxkhw/edit?usp=sharing"",""กาญจนบุรี!I381"")"),0)</f>
        <v>0</v>
      </c>
      <c r="J486" s="189">
        <f ca="1">IFERROR(__xludf.DUMMYFUNCTION("IMPORTRANGE(""https://docs.google.com/spreadsheets/d/1SX6NBoVAgQJ6U1MVXOaj8PK2l7WJ3RER9xtqwdhxkhw/edit?usp=sharing"",""กาญจนบุรี!J381"")"),0)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IFERROR(__xludf.DUMMYFUNCTION("IMPORTRANGE(""https://docs.google.com/spreadsheets/d/1SX6NBoVAgQJ6U1MVXOaj8PK2l7WJ3RER9xtqwdhxkhw/edit?usp=sharing"",""กาญจนบุรี!I384"")"),0)</f>
        <v>0</v>
      </c>
      <c r="J489" s="189">
        <f ca="1">IFERROR(__xludf.DUMMYFUNCTION("IMPORTRANGE(""https://docs.google.com/spreadsheets/d/1SX6NBoVAgQJ6U1MVXOaj8PK2l7WJ3RER9xtqwdhxkhw/edit?usp=sharing"",""กาญจนบุรี!J384"")"),0)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IFERROR(__xludf.DUMMYFUNCTION("IMPORTRANGE(""https://docs.google.com/spreadsheets/d/1SX6NBoVAgQJ6U1MVXOaj8PK2l7WJ3RER9xtqwdhxkhw/edit?usp=sharing"",""กาญจนบุรี!I385"")"),0)</f>
        <v>0</v>
      </c>
      <c r="J490" s="189">
        <f ca="1">IFERROR(__xludf.DUMMYFUNCTION("IMPORTRANGE(""https://docs.google.com/spreadsheets/d/1SX6NBoVAgQJ6U1MVXOaj8PK2l7WJ3RER9xtqwdhxkhw/edit?usp=sharing"",""กาญจนบุรี!J385"")"),0)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IFERROR(__xludf.DUMMYFUNCTION("IMPORTRANGE(""https://docs.google.com/spreadsheets/d/1SX6NBoVAgQJ6U1MVXOaj8PK2l7WJ3RER9xtqwdhxkhw/edit?usp=sharing"",""กาญจนบุรี!I386"")"),0)</f>
        <v>0</v>
      </c>
      <c r="J491" s="189">
        <f ca="1">IFERROR(__xludf.DUMMYFUNCTION("IMPORTRANGE(""https://docs.google.com/spreadsheets/d/1SX6NBoVAgQJ6U1MVXOaj8PK2l7WJ3RER9xtqwdhxkhw/edit?usp=sharing"",""กาญจนบุรี!J386"")"),0)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IFERROR(__xludf.DUMMYFUNCTION("IMPORTRANGE(""https://docs.google.com/spreadsheets/d/1SX6NBoVAgQJ6U1MVXOaj8PK2l7WJ3RER9xtqwdhxkhw/edit?usp=sharing"",""กาญจนบุรี!I387"")"),0)</f>
        <v>0</v>
      </c>
      <c r="J492" s="189">
        <f ca="1">IFERROR(__xludf.DUMMYFUNCTION("IMPORTRANGE(""https://docs.google.com/spreadsheets/d/1SX6NBoVAgQJ6U1MVXOaj8PK2l7WJ3RER9xtqwdhxkhw/edit?usp=sharing"",""กาญจนบุรี!J387"")"),0)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IFERROR(__xludf.DUMMYFUNCTION("IMPORTRANGE(""https://docs.google.com/spreadsheets/d/1SX6NBoVAgQJ6U1MVXOaj8PK2l7WJ3RER9xtqwdhxkhw/edit?usp=sharing"",""กาญจนบุรี!I388"")"),0)</f>
        <v>0</v>
      </c>
      <c r="J493" s="189">
        <f ca="1">IFERROR(__xludf.DUMMYFUNCTION("IMPORTRANGE(""https://docs.google.com/spreadsheets/d/1SX6NBoVAgQJ6U1MVXOaj8PK2l7WJ3RER9xtqwdhxkhw/edit?usp=sharing"",""กาญจนบุรี!J388"")"),0)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IFERROR(__xludf.DUMMYFUNCTION("IMPORTRANGE(""https://docs.google.com/spreadsheets/d/1SX6NBoVAgQJ6U1MVXOaj8PK2l7WJ3RER9xtqwdhxkhw/edit?usp=sharing"",""กาญจนบุรี!I395"")"),0)</f>
        <v>0</v>
      </c>
      <c r="J500" s="162">
        <f ca="1">IFERROR(__xludf.DUMMYFUNCTION("IMPORTRANGE(""https://docs.google.com/spreadsheets/d/1SX6NBoVAgQJ6U1MVXOaj8PK2l7WJ3RER9xtqwdhxkhw/edit?usp=sharing"",""กาญจนบุรี!J395"")"),0)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IFERROR(__xludf.DUMMYFUNCTION("IMPORTRANGE(""https://docs.google.com/spreadsheets/d/1SX6NBoVAgQJ6U1MVXOaj8PK2l7WJ3RER9xtqwdhxkhw/edit?usp=sharing"",""กาญจนบุรี!I396"")"),0)</f>
        <v>0</v>
      </c>
      <c r="J501" s="162">
        <f ca="1">IFERROR(__xludf.DUMMYFUNCTION("IMPORTRANGE(""https://docs.google.com/spreadsheets/d/1SX6NBoVAgQJ6U1MVXOaj8PK2l7WJ3RER9xtqwdhxkhw/edit?usp=sharing"",""กาญจนบุรี!J396"")"),0)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IFERROR(__xludf.DUMMYFUNCTION("IMPORTRANGE(""https://docs.google.com/spreadsheets/d/1SX6NBoVAgQJ6U1MVXOaj8PK2l7WJ3RER9xtqwdhxkhw/edit?usp=sharing"",""กาญจนบุรี!I397"")"),0)</f>
        <v>0</v>
      </c>
      <c r="J502" s="189">
        <f ca="1">IFERROR(__xludf.DUMMYFUNCTION("IMPORTRANGE(""https://docs.google.com/spreadsheets/d/1SX6NBoVAgQJ6U1MVXOaj8PK2l7WJ3RER9xtqwdhxkhw/edit?usp=sharing"",""กาญจนบุรี!J397"")"),0)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IFERROR(__xludf.DUMMYFUNCTION("IMPORTRANGE(""https://docs.google.com/spreadsheets/d/1SX6NBoVAgQJ6U1MVXOaj8PK2l7WJ3RER9xtqwdhxkhw/edit?usp=sharing"",""กาญจนบุรี!I398"")"),0)</f>
        <v>0</v>
      </c>
      <c r="J503" s="198">
        <f ca="1">IFERROR(__xludf.DUMMYFUNCTION("IMPORTRANGE(""https://docs.google.com/spreadsheets/d/1SX6NBoVAgQJ6U1MVXOaj8PK2l7WJ3RER9xtqwdhxkhw/edit?usp=sharing"",""กาญจนบุรี!J398"")"),0)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IFERROR(__xludf.DUMMYFUNCTION("IMPORTRANGE(""https://docs.google.com/spreadsheets/d/1SX6NBoVAgQJ6U1MVXOaj8PK2l7WJ3RER9xtqwdhxkhw/edit?usp=sharing"",""กาญจนบุรี!I399"")"),0)</f>
        <v>0</v>
      </c>
      <c r="J504" s="189">
        <f ca="1">IFERROR(__xludf.DUMMYFUNCTION("IMPORTRANGE(""https://docs.google.com/spreadsheets/d/1SX6NBoVAgQJ6U1MVXOaj8PK2l7WJ3RER9xtqwdhxkhw/edit?usp=sharing"",""กาญจนบุรี!J399"")"),0)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IFERROR(__xludf.DUMMYFUNCTION("IMPORTRANGE(""https://docs.google.com/spreadsheets/d/1SX6NBoVAgQJ6U1MVXOaj8PK2l7WJ3RER9xtqwdhxkhw/edit?usp=sharing"",""กาญจนบุรี!I400"")"),0)</f>
        <v>0</v>
      </c>
      <c r="J505" s="198">
        <f ca="1">IFERROR(__xludf.DUMMYFUNCTION("IMPORTRANGE(""https://docs.google.com/spreadsheets/d/1SX6NBoVAgQJ6U1MVXOaj8PK2l7WJ3RER9xtqwdhxkhw/edit?usp=sharing"",""กาญจนบุรี!J400"")"),0)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IFERROR(__xludf.DUMMYFUNCTION("IMPORTRANGE(""https://docs.google.com/spreadsheets/d/1SX6NBoVAgQJ6U1MVXOaj8PK2l7WJ3RER9xtqwdhxkhw/edit?usp=sharing"",""กาญจนบุรี!I401"")"),0)</f>
        <v>0</v>
      </c>
      <c r="J506" s="189">
        <f ca="1">IFERROR(__xludf.DUMMYFUNCTION("IMPORTRANGE(""https://docs.google.com/spreadsheets/d/1SX6NBoVAgQJ6U1MVXOaj8PK2l7WJ3RER9xtqwdhxkhw/edit?usp=sharing"",""กาญจนบุรี!J401"")"),0)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IFERROR(__xludf.DUMMYFUNCTION("IMPORTRANGE(""https://docs.google.com/spreadsheets/d/1SX6NBoVAgQJ6U1MVXOaj8PK2l7WJ3RER9xtqwdhxkhw/edit?usp=sharing"",""กาญจนบุรี!I402"")"),0)</f>
        <v>0</v>
      </c>
      <c r="J507" s="198">
        <f ca="1">IFERROR(__xludf.DUMMYFUNCTION("IMPORTRANGE(""https://docs.google.com/spreadsheets/d/1SX6NBoVAgQJ6U1MVXOaj8PK2l7WJ3RER9xtqwdhxkhw/edit?usp=sharing"",""กาญจนบุรี!J402"")"),0)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IFERROR(__xludf.DUMMYFUNCTION("IMPORTRANGE(""https://docs.google.com/spreadsheets/d/1SX6NBoVAgQJ6U1MVXOaj8PK2l7WJ3RER9xtqwdhxkhw/edit?usp=sharing"",""กาญจนบุรี!I403"")"),0)</f>
        <v>0</v>
      </c>
      <c r="J508" s="162">
        <f ca="1">IFERROR(__xludf.DUMMYFUNCTION("IMPORTRANGE(""https://docs.google.com/spreadsheets/d/1SX6NBoVAgQJ6U1MVXOaj8PK2l7WJ3RER9xtqwdhxkhw/edit?usp=sharing"",""กาญจนบุรี!J403"")"),0)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IFERROR(__xludf.DUMMYFUNCTION("IMPORTRANGE(""https://docs.google.com/spreadsheets/d/1SX6NBoVAgQJ6U1MVXOaj8PK2l7WJ3RER9xtqwdhxkhw/edit?usp=sharing"",""กาญจนบุรี!I404"")"),0)</f>
        <v>0</v>
      </c>
      <c r="J509" s="162">
        <f ca="1">IFERROR(__xludf.DUMMYFUNCTION("IMPORTRANGE(""https://docs.google.com/spreadsheets/d/1SX6NBoVAgQJ6U1MVXOaj8PK2l7WJ3RER9xtqwdhxkhw/edit?usp=sharing"",""กาญจนบุรี!J404"")"),0)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IFERROR(__xludf.DUMMYFUNCTION("IMPORTRANGE(""https://docs.google.com/spreadsheets/d/1SX6NBoVAgQJ6U1MVXOaj8PK2l7WJ3RER9xtqwdhxkhw/edit?usp=sharing"",""กาญจนบุรี!I405"")"),0)</f>
        <v>0</v>
      </c>
      <c r="J510" s="198">
        <f ca="1">IFERROR(__xludf.DUMMYFUNCTION("IMPORTRANGE(""https://docs.google.com/spreadsheets/d/1SX6NBoVAgQJ6U1MVXOaj8PK2l7WJ3RER9xtqwdhxkhw/edit?usp=sharing"",""กาญจนบุรี!J405"")"),0)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IFERROR(__xludf.DUMMYFUNCTION("IMPORTRANGE(""https://docs.google.com/spreadsheets/d/1SX6NBoVAgQJ6U1MVXOaj8PK2l7WJ3RER9xtqwdhxkhw/edit?usp=sharing"",""กาญจนบุรี!I406"")"),0)</f>
        <v>0</v>
      </c>
      <c r="J511" s="198">
        <f ca="1">IFERROR(__xludf.DUMMYFUNCTION("IMPORTRANGE(""https://docs.google.com/spreadsheets/d/1SX6NBoVAgQJ6U1MVXOaj8PK2l7WJ3RER9xtqwdhxkhw/edit?usp=sharing"",""กาญจนบุรี!J406"")"),0)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IFERROR(__xludf.DUMMYFUNCTION("IMPORTRANGE(""https://docs.google.com/spreadsheets/d/1SX6NBoVAgQJ6U1MVXOaj8PK2l7WJ3RER9xtqwdhxkhw/edit?usp=sharing"",""กาญจนบุรี!I407"")"),0)</f>
        <v>0</v>
      </c>
      <c r="J512" s="198">
        <f ca="1">IFERROR(__xludf.DUMMYFUNCTION("IMPORTRANGE(""https://docs.google.com/spreadsheets/d/1SX6NBoVAgQJ6U1MVXOaj8PK2l7WJ3RER9xtqwdhxkhw/edit?usp=sharing"",""กาญจนบุรี!J407"")"),0)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IFERROR(__xludf.DUMMYFUNCTION("IMPORTRANGE(""https://docs.google.com/spreadsheets/d/1SX6NBoVAgQJ6U1MVXOaj8PK2l7WJ3RER9xtqwdhxkhw/edit?usp=sharing"",""กาญจนบุรี!I408"")"),0)</f>
        <v>0</v>
      </c>
      <c r="J513" s="198">
        <f ca="1">IFERROR(__xludf.DUMMYFUNCTION("IMPORTRANGE(""https://docs.google.com/spreadsheets/d/1SX6NBoVAgQJ6U1MVXOaj8PK2l7WJ3RER9xtqwdhxkhw/edit?usp=sharing"",""กาญจนบุรี!J408"")"),0)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IFERROR(__xludf.DUMMYFUNCTION("IMPORTRANGE(""https://docs.google.com/spreadsheets/d/1SX6NBoVAgQJ6U1MVXOaj8PK2l7WJ3RER9xtqwdhxkhw/edit?usp=sharing"",""กาญจนบุรี!I409"")"),0)</f>
        <v>0</v>
      </c>
      <c r="J514" s="198">
        <f ca="1">IFERROR(__xludf.DUMMYFUNCTION("IMPORTRANGE(""https://docs.google.com/spreadsheets/d/1SX6NBoVAgQJ6U1MVXOaj8PK2l7WJ3RER9xtqwdhxkhw/edit?usp=sharing"",""กาญจนบุรี!J409"")"),0)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IFERROR(__xludf.DUMMYFUNCTION("IMPORTRANGE(""https://docs.google.com/spreadsheets/d/1SX6NBoVAgQJ6U1MVXOaj8PK2l7WJ3RER9xtqwdhxkhw/edit?usp=sharing"",""กาญจนบุรี!I410"")"),0)</f>
        <v>0</v>
      </c>
      <c r="J515" s="198">
        <f ca="1">IFERROR(__xludf.DUMMYFUNCTION("IMPORTRANGE(""https://docs.google.com/spreadsheets/d/1SX6NBoVAgQJ6U1MVXOaj8PK2l7WJ3RER9xtqwdhxkhw/edit?usp=sharing"",""กาญจนบุรี!J410"")"),0)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IFERROR(__xludf.DUMMYFUNCTION("IMPORTRANGE(""https://docs.google.com/spreadsheets/d/1SX6NBoVAgQJ6U1MVXOaj8PK2l7WJ3RER9xtqwdhxkhw/edit?usp=sharing"",""กาญจนบุรี!I411"")"),0)</f>
        <v>0</v>
      </c>
      <c r="J516" s="268">
        <f ca="1">IFERROR(__xludf.DUMMYFUNCTION("IMPORTRANGE(""https://docs.google.com/spreadsheets/d/1SX6NBoVAgQJ6U1MVXOaj8PK2l7WJ3RER9xtqwdhxkhw/edit?usp=sharing"",""กาญจนบุรี!J411"")"),0)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IFERROR(__xludf.DUMMYFUNCTION("IMPORTRANGE(""https://docs.google.com/spreadsheets/d/1SX6NBoVAgQJ6U1MVXOaj8PK2l7WJ3RER9xtqwdhxkhw/edit?usp=sharing"",""กาญจนบุรี!I412"")"),0)</f>
        <v>0</v>
      </c>
      <c r="J517" s="285">
        <f ca="1">IFERROR(__xludf.DUMMYFUNCTION("IMPORTRANGE(""https://docs.google.com/spreadsheets/d/1SX6NBoVAgQJ6U1MVXOaj8PK2l7WJ3RER9xtqwdhxkhw/edit?usp=sharing"",""กาญจนบุรี!J412"")"),0)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IFERROR(__xludf.DUMMYFUNCTION("IMPORTRANGE(""https://docs.google.com/spreadsheets/d/1SX6NBoVAgQJ6U1MVXOaj8PK2l7WJ3RER9xtqwdhxkhw/edit?usp=sharing"",""กาญจนบุรี!I413"")"),0)</f>
        <v>0</v>
      </c>
      <c r="J518" s="285">
        <f ca="1">IFERROR(__xludf.DUMMYFUNCTION("IMPORTRANGE(""https://docs.google.com/spreadsheets/d/1SX6NBoVAgQJ6U1MVXOaj8PK2l7WJ3RER9xtqwdhxkhw/edit?usp=sharing"",""กาญจนบุรี!J413"")"),0)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IFERROR(__xludf.DUMMYFUNCTION("IMPORTRANGE(""https://docs.google.com/spreadsheets/d/1SX6NBoVAgQJ6U1MVXOaj8PK2l7WJ3RER9xtqwdhxkhw/edit?usp=sharing"",""กาญจนบุรี!I414"")"),0)</f>
        <v>0</v>
      </c>
      <c r="J519" s="188">
        <f ca="1">IFERROR(__xludf.DUMMYFUNCTION("IMPORTRANGE(""https://docs.google.com/spreadsheets/d/1SX6NBoVAgQJ6U1MVXOaj8PK2l7WJ3RER9xtqwdhxkhw/edit?usp=sharing"",""กาญจนบุรี!J414"")"),0)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IFERROR(__xludf.DUMMYFUNCTION("IMPORTRANGE(""https://docs.google.com/spreadsheets/d/1SX6NBoVAgQJ6U1MVXOaj8PK2l7WJ3RER9xtqwdhxkhw/edit?usp=sharing"",""กาญจนบุรี!I415"")"),0)</f>
        <v>0</v>
      </c>
      <c r="J520" s="188">
        <f ca="1">IFERROR(__xludf.DUMMYFUNCTION("IMPORTRANGE(""https://docs.google.com/spreadsheets/d/1SX6NBoVAgQJ6U1MVXOaj8PK2l7WJ3RER9xtqwdhxkhw/edit?usp=sharing"",""กาญจนบุรี!J415"")"),0)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IFERROR(__xludf.DUMMYFUNCTION("IMPORTRANGE(""https://docs.google.com/spreadsheets/d/1SX6NBoVAgQJ6U1MVXOaj8PK2l7WJ3RER9xtqwdhxkhw/edit?usp=sharing"",""กาญจนบุรี!I416"")"),0)</f>
        <v>0</v>
      </c>
      <c r="J521" s="188">
        <f ca="1">IFERROR(__xludf.DUMMYFUNCTION("IMPORTRANGE(""https://docs.google.com/spreadsheets/d/1SX6NBoVAgQJ6U1MVXOaj8PK2l7WJ3RER9xtqwdhxkhw/edit?usp=sharing"",""กาญจนบุรี!J416"")"),0)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IFERROR(__xludf.DUMMYFUNCTION("IMPORTRANGE(""https://docs.google.com/spreadsheets/d/1SX6NBoVAgQJ6U1MVXOaj8PK2l7WJ3RER9xtqwdhxkhw/edit?usp=sharing"",""กาญจนบุรี!I417"")"),0)</f>
        <v>0</v>
      </c>
      <c r="J522" s="188">
        <f ca="1">IFERROR(__xludf.DUMMYFUNCTION("IMPORTRANGE(""https://docs.google.com/spreadsheets/d/1SX6NBoVAgQJ6U1MVXOaj8PK2l7WJ3RER9xtqwdhxkhw/edit?usp=sharing"",""กาญจนบุรี!J417"")"),0)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IFERROR(__xludf.DUMMYFUNCTION("IMPORTRANGE(""https://docs.google.com/spreadsheets/d/1SX6NBoVAgQJ6U1MVXOaj8PK2l7WJ3RER9xtqwdhxkhw/edit?usp=sharing"",""กาญจนบุรี!I418"")"),0)</f>
        <v>0</v>
      </c>
      <c r="J523" s="188">
        <f ca="1">IFERROR(__xludf.DUMMYFUNCTION("IMPORTRANGE(""https://docs.google.com/spreadsheets/d/1SX6NBoVAgQJ6U1MVXOaj8PK2l7WJ3RER9xtqwdhxkhw/edit?usp=sharing"",""กาญจนบุรี!J418"")"),988)</f>
        <v>988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IFERROR(__xludf.DUMMYFUNCTION("IMPORTRANGE(""https://docs.google.com/spreadsheets/d/1SX6NBoVAgQJ6U1MVXOaj8PK2l7WJ3RER9xtqwdhxkhw/edit?usp=sharing"",""กาญจนบุรี!I419"")"),0)</f>
        <v>0</v>
      </c>
      <c r="J524" s="188">
        <f ca="1">IFERROR(__xludf.DUMMYFUNCTION("IMPORTRANGE(""https://docs.google.com/spreadsheets/d/1SX6NBoVAgQJ6U1MVXOaj8PK2l7WJ3RER9xtqwdhxkhw/edit?usp=sharing"",""กาญจนบุรี!J419"")"),56)</f>
        <v>56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IFERROR(__xludf.DUMMYFUNCTION("IMPORTRANGE(""https://docs.google.com/spreadsheets/d/1SX6NBoVAgQJ6U1MVXOaj8PK2l7WJ3RER9xtqwdhxkhw/edit?usp=sharing"",""กาญจนบุรี!I420"")"),988)</f>
        <v>988</v>
      </c>
      <c r="J525" s="285">
        <f ca="1">IFERROR(__xludf.DUMMYFUNCTION("IMPORTRANGE(""https://docs.google.com/spreadsheets/d/1SX6NBoVAgQJ6U1MVXOaj8PK2l7WJ3RER9xtqwdhxkhw/edit?usp=sharing"",""กาญจนบุรี!J420"")"),0)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IFERROR(__xludf.DUMMYFUNCTION("IMPORTRANGE(""https://docs.google.com/spreadsheets/d/1SX6NBoVAgQJ6U1MVXOaj8PK2l7WJ3RER9xtqwdhxkhw/edit?usp=sharing"",""กาญจนบุรี!I421"")"),56)</f>
        <v>56</v>
      </c>
      <c r="J526" s="285">
        <f ca="1">IFERROR(__xludf.DUMMYFUNCTION("IMPORTRANGE(""https://docs.google.com/spreadsheets/d/1SX6NBoVAgQJ6U1MVXOaj8PK2l7WJ3RER9xtqwdhxkhw/edit?usp=sharing"",""กาญจนบุรี!J421"")"),0)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IFERROR(__xludf.DUMMYFUNCTION("IMPORTRANGE(""https://docs.google.com/spreadsheets/d/1SX6NBoVAgQJ6U1MVXOaj8PK2l7WJ3RER9xtqwdhxkhw/edit?usp=sharing"",""กาญจนบุรี!I422"")"),0)</f>
        <v>0</v>
      </c>
      <c r="J527" s="198">
        <f ca="1">IFERROR(__xludf.DUMMYFUNCTION("IMPORTRANGE(""https://docs.google.com/spreadsheets/d/1SX6NBoVAgQJ6U1MVXOaj8PK2l7WJ3RER9xtqwdhxkhw/edit?usp=sharing"",""กาญจนบุรี!J422"")"),988)</f>
        <v>988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IFERROR(__xludf.DUMMYFUNCTION("IMPORTRANGE(""https://docs.google.com/spreadsheets/d/1SX6NBoVAgQJ6U1MVXOaj8PK2l7WJ3RER9xtqwdhxkhw/edit?usp=sharing"",""กาญจนบุรี!I423"")"),0)</f>
        <v>0</v>
      </c>
      <c r="J528" s="198">
        <f ca="1">IFERROR(__xludf.DUMMYFUNCTION("IMPORTRANGE(""https://docs.google.com/spreadsheets/d/1SX6NBoVAgQJ6U1MVXOaj8PK2l7WJ3RER9xtqwdhxkhw/edit?usp=sharing"",""กาญจนบุรี!J423"")"),56)</f>
        <v>56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IFERROR(__xludf.DUMMYFUNCTION("IMPORTRANGE(""https://docs.google.com/spreadsheets/d/1SX6NBoVAgQJ6U1MVXOaj8PK2l7WJ3RER9xtqwdhxkhw/edit?usp=sharing"",""กาญจนบุรี!I424"")"),0)</f>
        <v>0</v>
      </c>
      <c r="J529" s="198">
        <f ca="1">IFERROR(__xludf.DUMMYFUNCTION("IMPORTRANGE(""https://docs.google.com/spreadsheets/d/1SX6NBoVAgQJ6U1MVXOaj8PK2l7WJ3RER9xtqwdhxkhw/edit?usp=sharing"",""กาญจนบุรี!J424"")"),0)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IFERROR(__xludf.DUMMYFUNCTION("IMPORTRANGE(""https://docs.google.com/spreadsheets/d/1SX6NBoVAgQJ6U1MVXOaj8PK2l7WJ3RER9xtqwdhxkhw/edit?usp=sharing"",""กาญจนบุรี!I425"")"),0)</f>
        <v>0</v>
      </c>
      <c r="J530" s="198">
        <f ca="1">IFERROR(__xludf.DUMMYFUNCTION("IMPORTRANGE(""https://docs.google.com/spreadsheets/d/1SX6NBoVAgQJ6U1MVXOaj8PK2l7WJ3RER9xtqwdhxkhw/edit?usp=sharing"",""กาญจนบุรี!J425"")"),0)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IFERROR(__xludf.DUMMYFUNCTION("IMPORTRANGE(""https://docs.google.com/spreadsheets/d/1SX6NBoVAgQJ6U1MVXOaj8PK2l7WJ3RER9xtqwdhxkhw/edit?usp=sharing"",""กาญจนบุรี!I426"")"),0)</f>
        <v>0</v>
      </c>
      <c r="J531" s="198">
        <f ca="1">IFERROR(__xludf.DUMMYFUNCTION("IMPORTRANGE(""https://docs.google.com/spreadsheets/d/1SX6NBoVAgQJ6U1MVXOaj8PK2l7WJ3RER9xtqwdhxkhw/edit?usp=sharing"",""กาญจนบุรี!J426"")"),0)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IFERROR(__xludf.DUMMYFUNCTION("IMPORTRANGE(""https://docs.google.com/spreadsheets/d/1SX6NBoVAgQJ6U1MVXOaj8PK2l7WJ3RER9xtqwdhxkhw/edit?usp=sharing"",""กาญจนบุรี!J428"")"),25)</f>
        <v>25</v>
      </c>
      <c r="K533" s="411">
        <f ca="1">IF(I533&gt;0,J533*100/I533,0)</f>
        <v>89.285714285714292</v>
      </c>
      <c r="L533" s="412">
        <f ca="1">IFERROR(__xludf.DUMMYFUNCTION("IMPORTRANGE(""https://docs.google.com/spreadsheets/d/1SX6NBoVAgQJ6U1MVXOaj8PK2l7WJ3RER9xtqwdhxkhw/edit?usp=sharing"",""กาญจนบุรี!L428"")"),39440)</f>
        <v>39440</v>
      </c>
      <c r="M533" s="412"/>
      <c r="N533" s="412">
        <f ca="1">IFERROR(__xludf.DUMMYFUNCTION("IMPORTRANGE(""https://docs.google.com/spreadsheets/d/1SX6NBoVAgQJ6U1MVXOaj8PK2l7WJ3RER9xtqwdhxkhw/edit?usp=sharing"",""กาญจนบุรี!M428"")"),27040)</f>
        <v>27040</v>
      </c>
      <c r="O533" s="412">
        <f t="shared" ref="O533:O537" ca="1" si="118">+IF(L533&gt;0,N533*100/L533,0)</f>
        <v>68.559837728194722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IFERROR(__xludf.DUMMYFUNCTION("IMPORTRANGE(""https://docs.google.com/spreadsheets/d/1SX6NBoVAgQJ6U1MVXOaj8PK2l7WJ3RER9xtqwdhxkhw/edit?usp=sharing"",""กาญจนบุรี!L429"")"),0)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IFERROR(__xludf.DUMMYFUNCTION("IMPORTRANGE(""https://docs.google.com/spreadsheets/d/1SX6NBoVAgQJ6U1MVXOaj8PK2l7WJ3RER9xtqwdhxkhw/edit?usp=sharing"",""กาญจนบุรี!M429"")"),0)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IFERROR(__xludf.DUMMYFUNCTION("IMPORTRANGE(""https://docs.google.com/spreadsheets/d/1SX6NBoVAgQJ6U1MVXOaj8PK2l7WJ3RER9xtqwdhxkhw/edit?usp=sharing"",""กาญจนบุรี!L430"")"),39440)</f>
        <v>39440</v>
      </c>
      <c r="M535" s="165"/>
      <c r="N535" s="169">
        <f ca="1">IFERROR(__xludf.DUMMYFUNCTION("IMPORTRANGE(""https://docs.google.com/spreadsheets/d/1SX6NBoVAgQJ6U1MVXOaj8PK2l7WJ3RER9xtqwdhxkhw/edit?usp=sharing"",""กาญจนบุรี!M430"")"),27040)</f>
        <v>27040</v>
      </c>
      <c r="O535" s="169">
        <f t="shared" ca="1" si="118"/>
        <v>68.559837728194722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IFERROR(__xludf.DUMMYFUNCTION("IMPORTRANGE(""https://docs.google.com/spreadsheets/d/1SX6NBoVAgQJ6U1MVXOaj8PK2l7WJ3RER9xtqwdhxkhw/edit?usp=sharing"",""กาญจนบุรี!L431"")"),0)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IFERROR(__xludf.DUMMYFUNCTION("IMPORTRANGE(""https://docs.google.com/spreadsheets/d/1SX6NBoVAgQJ6U1MVXOaj8PK2l7WJ3RER9xtqwdhxkhw/edit?usp=sharing"",""กาญจนบุรี!M431"")"),0)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IFERROR(__xludf.DUMMYFUNCTION("IMPORTRANGE(""https://docs.google.com/spreadsheets/d/1SX6NBoVAgQJ6U1MVXOaj8PK2l7WJ3RER9xtqwdhxkhw/edit?usp=sharing"",""กาญจนบุรี!L432"")"),39440)</f>
        <v>39440</v>
      </c>
      <c r="M537" s="169"/>
      <c r="N537" s="169">
        <f ca="1">IFERROR(__xludf.DUMMYFUNCTION("IMPORTRANGE(""https://docs.google.com/spreadsheets/d/1SX6NBoVAgQJ6U1MVXOaj8PK2l7WJ3RER9xtqwdhxkhw/edit?usp=sharing"",""กาญจนบุรี!M432"")"),27040)</f>
        <v>27040</v>
      </c>
      <c r="O537" s="169">
        <f t="shared" ca="1" si="118"/>
        <v>68.559837728194722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IFERROR(__xludf.DUMMYFUNCTION("IMPORTRANGE(""https://docs.google.com/spreadsheets/d/1SX6NBoVAgQJ6U1MVXOaj8PK2l7WJ3RER9xtqwdhxkhw/edit?usp=sharing"",""กาญจนบุรี!M433"")"),23840)</f>
        <v>23840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IFERROR(__xludf.DUMMYFUNCTION("IMPORTRANGE(""https://docs.google.com/spreadsheets/d/1SX6NBoVAgQJ6U1MVXOaj8PK2l7WJ3RER9xtqwdhxkhw/edit?usp=sharing"",""กาญจนบุรี!M436"")"),3200)</f>
        <v>3200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IFERROR(__xludf.DUMMYFUNCTION("IMPORTRANGE(""https://docs.google.com/spreadsheets/d/1SX6NBoVAgQJ6U1MVXOaj8PK2l7WJ3RER9xtqwdhxkhw/edit?usp=sharing"",""กาญจนบุรี!J438"")"),0)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IFERROR(__xludf.DUMMYFUNCTION("IMPORTRANGE(""https://docs.google.com/spreadsheets/d/1SX6NBoVAgQJ6U1MVXOaj8PK2l7WJ3RER9xtqwdhxkhw/edit?usp=sharing"",""กาญจนบุรี!J439"")"),1)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IFERROR(__xludf.DUMMYFUNCTION("IMPORTRANGE(""https://docs.google.com/spreadsheets/d/1SX6NBoVAgQJ6U1MVXOaj8PK2l7WJ3RER9xtqwdhxkhw/edit?usp=sharing"",""กาญจนบุรี!J440"")"),1)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IFERROR(__xludf.DUMMYFUNCTION("IMPORTRANGE(""https://docs.google.com/spreadsheets/d/1SX6NBoVAgQJ6U1MVXOaj8PK2l7WJ3RER9xtqwdhxkhw/edit?usp=sharing"",""กาญจนบุรี!J441"")"),1)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IFERROR(__xludf.DUMMYFUNCTION("IMPORTRANGE(""https://docs.google.com/spreadsheets/d/1SX6NBoVAgQJ6U1MVXOaj8PK2l7WJ3RER9xtqwdhxkhw/edit?usp=sharing"",""กาญจนบุรี!I442"")"),28)</f>
        <v>28</v>
      </c>
      <c r="J547" s="189">
        <f ca="1">IFERROR(__xludf.DUMMYFUNCTION("IMPORTRANGE(""https://docs.google.com/spreadsheets/d/1SX6NBoVAgQJ6U1MVXOaj8PK2l7WJ3RER9xtqwdhxkhw/edit?usp=sharing"",""กาญจนบุรี!J442"")"),25)</f>
        <v>25</v>
      </c>
      <c r="K547" s="163">
        <f t="shared" ref="K547:K548" ca="1" si="119">IF(I547&gt;0,J547*100/I547,0)</f>
        <v>89.285714285714292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IFERROR(__xludf.DUMMYFUNCTION("IMPORTRANGE(""https://docs.google.com/spreadsheets/d/1SX6NBoVAgQJ6U1MVXOaj8PK2l7WJ3RER9xtqwdhxkhw/edit?usp=sharing"",""กาญจนบุรี!J166"")"),0)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IFERROR(__xludf.DUMMYFUNCTION("IMPORTRANGE(""https://docs.google.com/spreadsheets/d/1SX6NBoVAgQJ6U1MVXOaj8PK2l7WJ3RER9xtqwdhxkhw/edit?usp=sharing"",""กาญจนบุรี!J444"")"),0)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IFERROR(__xludf.DUMMYFUNCTION("IMPORTRANGE(""https://docs.google.com/spreadsheets/d/1SX6NBoVAgQJ6U1MVXOaj8PK2l7WJ3RER9xtqwdhxkhw/edit?usp=sharing"",""กาญจนบุรี!M446"")"),70365)</f>
        <v>70365</v>
      </c>
      <c r="O551" s="412">
        <f t="shared" ref="O551:O555" ca="1" si="120">+IF(L551&gt;0,N551*100/L551,0)</f>
        <v>35.537878787878789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IFERROR(__xludf.DUMMYFUNCTION("IMPORTRANGE(""https://docs.google.com/spreadsheets/d/1SX6NBoVAgQJ6U1MVXOaj8PK2l7WJ3RER9xtqwdhxkhw/edit?usp=sharing"",""กาญจนบุรี!L447"")"),0)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IFERROR(__xludf.DUMMYFUNCTION("IMPORTRANGE(""https://docs.google.com/spreadsheets/d/1SX6NBoVAgQJ6U1MVXOaj8PK2l7WJ3RER9xtqwdhxkhw/edit?usp=sharing"",""กาญจนบุรี!M447"")"),0)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IFERROR(__xludf.DUMMYFUNCTION("IMPORTRANGE(""https://docs.google.com/spreadsheets/d/1SX6NBoVAgQJ6U1MVXOaj8PK2l7WJ3RER9xtqwdhxkhw/edit?usp=sharing"",""กาญจนบุรี!L448"")"),198000)</f>
        <v>198000</v>
      </c>
      <c r="M553" s="165"/>
      <c r="N553" s="169">
        <f ca="1">IFERROR(__xludf.DUMMYFUNCTION("IMPORTRANGE(""https://docs.google.com/spreadsheets/d/1SX6NBoVAgQJ6U1MVXOaj8PK2l7WJ3RER9xtqwdhxkhw/edit?usp=sharing"",""กาญจนบุรี!M448"")"),70365)</f>
        <v>70365</v>
      </c>
      <c r="O553" s="169">
        <f t="shared" ca="1" si="120"/>
        <v>35.537878787878789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IFERROR(__xludf.DUMMYFUNCTION("IMPORTRANGE(""https://docs.google.com/spreadsheets/d/1SX6NBoVAgQJ6U1MVXOaj8PK2l7WJ3RER9xtqwdhxkhw/edit?usp=sharing"",""กาญจนบุรี!L449"")"),0)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IFERROR(__xludf.DUMMYFUNCTION("IMPORTRANGE(""https://docs.google.com/spreadsheets/d/1SX6NBoVAgQJ6U1MVXOaj8PK2l7WJ3RER9xtqwdhxkhw/edit?usp=sharing"",""กาญจนบุรี!M449"")"),0)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IFERROR(__xludf.DUMMYFUNCTION("IMPORTRANGE(""https://docs.google.com/spreadsheets/d/1SX6NBoVAgQJ6U1MVXOaj8PK2l7WJ3RER9xtqwdhxkhw/edit?usp=sharing"",""กาญจนบุรี!L450"")"),198000)</f>
        <v>198000</v>
      </c>
      <c r="M555" s="169"/>
      <c r="N555" s="169">
        <f ca="1">IFERROR(__xludf.DUMMYFUNCTION("IMPORTRANGE(""https://docs.google.com/spreadsheets/d/1SX6NBoVAgQJ6U1MVXOaj8PK2l7WJ3RER9xtqwdhxkhw/edit?usp=sharing"",""กาญจนบุรี!M450"")"),70365)</f>
        <v>70365</v>
      </c>
      <c r="O555" s="169">
        <f t="shared" ca="1" si="120"/>
        <v>35.537878787878789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IFERROR(__xludf.DUMMYFUNCTION("IMPORTRANGE(""https://docs.google.com/spreadsheets/d/1SX6NBoVAgQJ6U1MVXOaj8PK2l7WJ3RER9xtqwdhxkhw/edit?usp=sharing"",""กาญจนบุรี!M451"")"),0)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IFERROR(__xludf.DUMMYFUNCTION("IMPORTRANGE(""https://docs.google.com/spreadsheets/d/1SX6NBoVAgQJ6U1MVXOaj8PK2l7WJ3RER9xtqwdhxkhw/edit?usp=sharing"",""กาญจนบุรี!M452"")"),0)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IFERROR(__xludf.DUMMYFUNCTION("IMPORTRANGE(""https://docs.google.com/spreadsheets/d/1SX6NBoVAgQJ6U1MVXOaj8PK2l7WJ3RER9xtqwdhxkhw/edit?usp=sharing"",""กาญจนบุรี!M453"")"),0)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IFERROR(__xludf.DUMMYFUNCTION("IMPORTRANGE(""https://docs.google.com/spreadsheets/d/1SX6NBoVAgQJ6U1MVXOaj8PK2l7WJ3RER9xtqwdhxkhw/edit?usp=sharing"",""กาญจนบุรี!M454"")"),70365)</f>
        <v>70365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IFERROR(__xludf.DUMMYFUNCTION("IMPORTRANGE(""https://docs.google.com/spreadsheets/d/1SX6NBoVAgQJ6U1MVXOaj8PK2l7WJ3RER9xtqwdhxkhw/edit?usp=sharing"",""กาญจนบุรี!I455"")"),3000)</f>
        <v>3000</v>
      </c>
      <c r="J560" s="162">
        <f ca="1">IFERROR(__xludf.DUMMYFUNCTION("IMPORTRANGE(""https://docs.google.com/spreadsheets/d/1SX6NBoVAgQJ6U1MVXOaj8PK2l7WJ3RER9xtqwdhxkhw/edit?usp=sharing"",""กาญจนบุรี!J455"")"),0)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IFERROR(__xludf.DUMMYFUNCTION("IMPORTRANGE(""https://docs.google.com/spreadsheets/d/1SX6NBoVAgQJ6U1MVXOaj8PK2l7WJ3RER9xtqwdhxkhw/edit?usp=sharing"",""กาญจนบุรี!I456"")"),0)</f>
        <v>0</v>
      </c>
      <c r="J561" s="204">
        <f ca="1">IFERROR(__xludf.DUMMYFUNCTION("IMPORTRANGE(""https://docs.google.com/spreadsheets/d/1SX6NBoVAgQJ6U1MVXOaj8PK2l7WJ3RER9xtqwdhxkhw/edit?usp=sharing"",""กาญจนบุรี!J456"")"),0)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IFERROR(__xludf.DUMMYFUNCTION("IMPORTRANGE(""https://docs.google.com/spreadsheets/d/1SX6NBoVAgQJ6U1MVXOaj8PK2l7WJ3RER9xtqwdhxkhw/edit?usp=sharing"",""กาญจนบุรี!J459"")"),1980)</f>
        <v>1980</v>
      </c>
      <c r="K564" s="372">
        <f ca="1">IF(I564&gt;0,J564*100/I564,0)</f>
        <v>104.21052631578948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IFERROR(__xludf.DUMMYFUNCTION("IMPORTRANGE(""https://docs.google.com/spreadsheets/d/1SX6NBoVAgQJ6U1MVXOaj8PK2l7WJ3RER9xtqwdhxkhw/edit?usp=sharing"",""กาญจนบุรี!M459"")"),120004)</f>
        <v>120004</v>
      </c>
      <c r="O564" s="373">
        <f t="shared" ref="O564:O568" ca="1" si="122">+IF(L564&gt;0,N564*100/L564,0)</f>
        <v>86.959420289855075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IFERROR(__xludf.DUMMYFUNCTION("IMPORTRANGE(""https://docs.google.com/spreadsheets/d/1SX6NBoVAgQJ6U1MVXOaj8PK2l7WJ3RER9xtqwdhxkhw/edit?usp=sharing"",""กาญจนบุรี!L460"")"),0)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IFERROR(__xludf.DUMMYFUNCTION("IMPORTRANGE(""https://docs.google.com/spreadsheets/d/1SX6NBoVAgQJ6U1MVXOaj8PK2l7WJ3RER9xtqwdhxkhw/edit?usp=sharing"",""กาญจนบุรี!M460"")"),0)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IFERROR(__xludf.DUMMYFUNCTION("IMPORTRANGE(""https://docs.google.com/spreadsheets/d/1SX6NBoVAgQJ6U1MVXOaj8PK2l7WJ3RER9xtqwdhxkhw/edit?usp=sharing"",""กาญจนบุรี!L461"")"),138000)</f>
        <v>138000</v>
      </c>
      <c r="M566" s="165"/>
      <c r="N566" s="169">
        <f ca="1">IFERROR(__xludf.DUMMYFUNCTION("IMPORTRANGE(""https://docs.google.com/spreadsheets/d/1SX6NBoVAgQJ6U1MVXOaj8PK2l7WJ3RER9xtqwdhxkhw/edit?usp=sharing"",""กาญจนบุรี!M461"")"),120004)</f>
        <v>120004</v>
      </c>
      <c r="O566" s="169">
        <f t="shared" ca="1" si="122"/>
        <v>86.959420289855075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IFERROR(__xludf.DUMMYFUNCTION("IMPORTRANGE(""https://docs.google.com/spreadsheets/d/1SX6NBoVAgQJ6U1MVXOaj8PK2l7WJ3RER9xtqwdhxkhw/edit?usp=sharing"",""กาญจนบุรี!L462"")"),0)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IFERROR(__xludf.DUMMYFUNCTION("IMPORTRANGE(""https://docs.google.com/spreadsheets/d/1SX6NBoVAgQJ6U1MVXOaj8PK2l7WJ3RER9xtqwdhxkhw/edit?usp=sharing"",""กาญจนบุรี!M462"")"),0)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IFERROR(__xludf.DUMMYFUNCTION("IMPORTRANGE(""https://docs.google.com/spreadsheets/d/1SX6NBoVAgQJ6U1MVXOaj8PK2l7WJ3RER9xtqwdhxkhw/edit?usp=sharing"",""กาญจนบุรี!L463"")"),138000)</f>
        <v>138000</v>
      </c>
      <c r="M568" s="169"/>
      <c r="N568" s="169">
        <f ca="1">IFERROR(__xludf.DUMMYFUNCTION("IMPORTRANGE(""https://docs.google.com/spreadsheets/d/1SX6NBoVAgQJ6U1MVXOaj8PK2l7WJ3RER9xtqwdhxkhw/edit?usp=sharing"",""กาญจนบุรี!M463"")"),120004)</f>
        <v>120004</v>
      </c>
      <c r="O568" s="169">
        <f t="shared" ca="1" si="122"/>
        <v>86.959420289855075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IFERROR(__xludf.DUMMYFUNCTION("IMPORTRANGE(""https://docs.google.com/spreadsheets/d/1SX6NBoVAgQJ6U1MVXOaj8PK2l7WJ3RER9xtqwdhxkhw/edit?usp=sharing"",""กาญจนบุรี!M464"")"),0)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IFERROR(__xludf.DUMMYFUNCTION("IMPORTRANGE(""https://docs.google.com/spreadsheets/d/1SX6NBoVAgQJ6U1MVXOaj8PK2l7WJ3RER9xtqwdhxkhw/edit?usp=sharing"",""กาญจนบุรี!M465"")"),0)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IFERROR(__xludf.DUMMYFUNCTION("IMPORTRANGE(""https://docs.google.com/spreadsheets/d/1SX6NBoVAgQJ6U1MVXOaj8PK2l7WJ3RER9xtqwdhxkhw/edit?usp=sharing"",""กาญจนบุรี!M466"")"),75909)</f>
        <v>75909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IFERROR(__xludf.DUMMYFUNCTION("IMPORTRANGE(""https://docs.google.com/spreadsheets/d/1SX6NBoVAgQJ6U1MVXOaj8PK2l7WJ3RER9xtqwdhxkhw/edit?usp=sharing"",""กาญจนบุรี!M467"")"),44095)</f>
        <v>44095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IFERROR(__xludf.DUMMYFUNCTION("IMPORTRANGE(""https://docs.google.com/spreadsheets/d/1SX6NBoVAgQJ6U1MVXOaj8PK2l7WJ3RER9xtqwdhxkhw/edit?usp=sharing"",""กาญจนบุรี!J468"")"),1980)</f>
        <v>1980</v>
      </c>
      <c r="K573" s="202">
        <f ca="1">IF(I573&gt;0,J573*100/I573,0)</f>
        <v>104.21052631578948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IFERROR(__xludf.DUMMYFUNCTION("IMPORTRANGE(""https://docs.google.com/spreadsheets/d/1SX6NBoVAgQJ6U1MVXOaj8PK2l7WJ3RER9xtqwdhxkhw/edit?usp=sharing"",""กาญจนบุรี!I470"")"),0)</f>
        <v>0</v>
      </c>
      <c r="J575" s="198">
        <f ca="1">IFERROR(__xludf.DUMMYFUNCTION("IMPORTRANGE(""https://docs.google.com/spreadsheets/d/1SX6NBoVAgQJ6U1MVXOaj8PK2l7WJ3RER9xtqwdhxkhw/edit?usp=sharing"",""กาญจนบุรี!J470"")"),5)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IFERROR(__xludf.DUMMYFUNCTION("IMPORTRANGE(""https://docs.google.com/spreadsheets/d/1SX6NBoVAgQJ6U1MVXOaj8PK2l7WJ3RER9xtqwdhxkhw/edit?usp=sharing"",""กาญจนบุรี!I471"")"),0)</f>
        <v>0</v>
      </c>
      <c r="J576" s="198">
        <f ca="1">IFERROR(__xludf.DUMMYFUNCTION("IMPORTRANGE(""https://docs.google.com/spreadsheets/d/1SX6NBoVAgQJ6U1MVXOaj8PK2l7WJ3RER9xtqwdhxkhw/edit?usp=sharing"",""กาญจนบุรี!J471"")"),325)</f>
        <v>325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IFERROR(__xludf.DUMMYFUNCTION("IMPORTRANGE(""https://docs.google.com/spreadsheets/d/1SX6NBoVAgQJ6U1MVXOaj8PK2l7WJ3RER9xtqwdhxkhw/edit?usp=sharing"",""กาญจนบุรี!I472"")"),0)</f>
        <v>0</v>
      </c>
      <c r="J577" s="189">
        <f ca="1">IFERROR(__xludf.DUMMYFUNCTION("IMPORTRANGE(""https://docs.google.com/spreadsheets/d/1SX6NBoVAgQJ6U1MVXOaj8PK2l7WJ3RER9xtqwdhxkhw/edit?usp=sharing"",""กาญจนบุรี!J472"")"),1655)</f>
        <v>1655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IFERROR(__xludf.DUMMYFUNCTION("IMPORTRANGE(""https://docs.google.com/spreadsheets/d/1SX6NBoVAgQJ6U1MVXOaj8PK2l7WJ3RER9xtqwdhxkhw/edit?usp=sharing"",""กาญจนบุรี!I473"")"),0)</f>
        <v>0</v>
      </c>
      <c r="J578" s="198">
        <f ca="1">IFERROR(__xludf.DUMMYFUNCTION("IMPORTRANGE(""https://docs.google.com/spreadsheets/d/1SX6NBoVAgQJ6U1MVXOaj8PK2l7WJ3RER9xtqwdhxkhw/edit?usp=sharing"",""กาญจนบุรี!J473"")"),0)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IFERROR(__xludf.DUMMYFUNCTION("IMPORTRANGE(""https://docs.google.com/spreadsheets/d/1SX6NBoVAgQJ6U1MVXOaj8PK2l7WJ3RER9xtqwdhxkhw/edit?usp=sharing"",""กาญจนบุรี!I474"")"),0)</f>
        <v>0</v>
      </c>
      <c r="J579" s="198">
        <f ca="1">IFERROR(__xludf.DUMMYFUNCTION("IMPORTRANGE(""https://docs.google.com/spreadsheets/d/1SX6NBoVAgQJ6U1MVXOaj8PK2l7WJ3RER9xtqwdhxkhw/edit?usp=sharing"",""กาญจนบุรี!J474"")"),0)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IFERROR(__xludf.DUMMYFUNCTION("IMPORTRANGE(""https://docs.google.com/spreadsheets/d/1SX6NBoVAgQJ6U1MVXOaj8PK2l7WJ3RER9xtqwdhxkhw/edit?usp=sharing"",""กาญจนบุรี!L476"")"),0)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IFERROR(__xludf.DUMMYFUNCTION("IMPORTRANGE(""https://docs.google.com/spreadsheets/d/1SX6NBoVAgQJ6U1MVXOaj8PK2l7WJ3RER9xtqwdhxkhw/edit?usp=sharing"",""กาญจนบุรี!M476"")"),0)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IFERROR(__xludf.DUMMYFUNCTION("IMPORTRANGE(""https://docs.google.com/spreadsheets/d/1SX6NBoVAgQJ6U1MVXOaj8PK2l7WJ3RER9xtqwdhxkhw/edit?usp=sharing"",""กาญจนบุรี!L477"")"),0)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IFERROR(__xludf.DUMMYFUNCTION("IMPORTRANGE(""https://docs.google.com/spreadsheets/d/1SX6NBoVAgQJ6U1MVXOaj8PK2l7WJ3RER9xtqwdhxkhw/edit?usp=sharing"",""กาญจนบุรี!M477"")"),0)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IFERROR(__xludf.DUMMYFUNCTION("IMPORTRANGE(""https://docs.google.com/spreadsheets/d/1SX6NBoVAgQJ6U1MVXOaj8PK2l7WJ3RER9xtqwdhxkhw/edit?usp=sharing"",""กาญจนบุรี!L478"")"),0)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IFERROR(__xludf.DUMMYFUNCTION("IMPORTRANGE(""https://docs.google.com/spreadsheets/d/1SX6NBoVAgQJ6U1MVXOaj8PK2l7WJ3RER9xtqwdhxkhw/edit?usp=sharing"",""กาญจนบุรี!M478"")"),0)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IFERROR(__xludf.DUMMYFUNCTION("IMPORTRANGE(""https://docs.google.com/spreadsheets/d/1SX6NBoVAgQJ6U1MVXOaj8PK2l7WJ3RER9xtqwdhxkhw/edit?usp=sharing"",""กาญจนบุรี!L479"")"),0)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IFERROR(__xludf.DUMMYFUNCTION("IMPORTRANGE(""https://docs.google.com/spreadsheets/d/1SX6NBoVAgQJ6U1MVXOaj8PK2l7WJ3RER9xtqwdhxkhw/edit?usp=sharing"",""กาญจนบุรี!M479"")"),0)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IFERROR(__xludf.DUMMYFUNCTION("IMPORTRANGE(""https://docs.google.com/spreadsheets/d/1SX6NBoVAgQJ6U1MVXOaj8PK2l7WJ3RER9xtqwdhxkhw/edit?usp=sharing"",""กาญจนบุรี!M480"")"),0)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IFERROR(__xludf.DUMMYFUNCTION("IMPORTRANGE(""https://docs.google.com/spreadsheets/d/1SX6NBoVAgQJ6U1MVXOaj8PK2l7WJ3RER9xtqwdhxkhw/edit?usp=sharing"",""กาญจนบุรี!M481"")"),0)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IFERROR(__xludf.DUMMYFUNCTION("IMPORTRANGE(""https://docs.google.com/spreadsheets/d/1SX6NBoVAgQJ6U1MVXOaj8PK2l7WJ3RER9xtqwdhxkhw/edit?usp=sharing"",""กาญจนบุรี!M482"")"),0)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IFERROR(__xludf.DUMMYFUNCTION("IMPORTRANGE(""https://docs.google.com/spreadsheets/d/1SX6NBoVAgQJ6U1MVXOaj8PK2l7WJ3RER9xtqwdhxkhw/edit?usp=sharing"",""กาญจนบุรี!M483"")"),0)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IFERROR(__xludf.DUMMYFUNCTION("IMPORTRANGE(""https://docs.google.com/spreadsheets/d/1SX6NBoVAgQJ6U1MVXOaj8PK2l7WJ3RER9xtqwdhxkhw/edit?usp=sharing"",""กาญจนบุรี!I484"")"),0)</f>
        <v>0</v>
      </c>
      <c r="J589" s="188">
        <f ca="1">IFERROR(__xludf.DUMMYFUNCTION("IMPORTRANGE(""https://docs.google.com/spreadsheets/d/1SX6NBoVAgQJ6U1MVXOaj8PK2l7WJ3RER9xtqwdhxkhw/edit?usp=sharing"",""กาญจนบุรี!J484"")"),0)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8">
        <f ca="1">IFERROR(__xludf.DUMMYFUNCTION("IMPORTRANGE(""https://docs.google.com/spreadsheets/d/1SX6NBoVAgQJ6U1MVXOaj8PK2l7WJ3RER9xtqwdhxkhw/edit?usp=sharing"",""กาญจนบุรี!J485"")"),0)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IFERROR(__xludf.DUMMYFUNCTION("IMPORTRANGE(""https://docs.google.com/spreadsheets/d/1SX6NBoVAgQJ6U1MVXOaj8PK2l7WJ3RER9xtqwdhxkhw/edit?usp=sharing"",""กาญจนบุรี!I486"")"),0)</f>
        <v>0</v>
      </c>
      <c r="J591" s="188">
        <f ca="1">IFERROR(__xludf.DUMMYFUNCTION("IMPORTRANGE(""https://docs.google.com/spreadsheets/d/1SX6NBoVAgQJ6U1MVXOaj8PK2l7WJ3RER9xtqwdhxkhw/edit?usp=sharing"",""กาญจนบุรี!J486"")"),0)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8">
        <f ca="1">IFERROR(__xludf.DUMMYFUNCTION("IMPORTRANGE(""https://docs.google.com/spreadsheets/d/1SX6NBoVAgQJ6U1MVXOaj8PK2l7WJ3RER9xtqwdhxkhw/edit?usp=sharing"",""กาญจนบุรี!J487"")"),0)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IFERROR(__xludf.DUMMYFUNCTION("IMPORTRANGE(""https://docs.google.com/spreadsheets/d/1SX6NBoVAgQJ6U1MVXOaj8PK2l7WJ3RER9xtqwdhxkhw/edit?usp=sharing"",""กาญจนบุรี!I488"")"),0)</f>
        <v>0</v>
      </c>
      <c r="J593" s="188">
        <f ca="1">IFERROR(__xludf.DUMMYFUNCTION("IMPORTRANGE(""https://docs.google.com/spreadsheets/d/1SX6NBoVAgQJ6U1MVXOaj8PK2l7WJ3RER9xtqwdhxkhw/edit?usp=sharing"",""กาญจนบุรี!J488"")"),0)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8">
        <f ca="1">IFERROR(__xludf.DUMMYFUNCTION("IMPORTRANGE(""https://docs.google.com/spreadsheets/d/1SX6NBoVAgQJ6U1MVXOaj8PK2l7WJ3RER9xtqwdhxkhw/edit?usp=sharing"",""กาญจนบุรี!J489"")"),0)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IFERROR(__xludf.DUMMYFUNCTION("IMPORTRANGE(""https://docs.google.com/spreadsheets/d/1SX6NBoVAgQJ6U1MVXOaj8PK2l7WJ3RER9xtqwdhxkhw/edit?usp=sharing"",""กาญจนบุรี!I490"")"),0)</f>
        <v>0</v>
      </c>
      <c r="J595" s="188">
        <f ca="1">IFERROR(__xludf.DUMMYFUNCTION("IMPORTRANGE(""https://docs.google.com/spreadsheets/d/1SX6NBoVAgQJ6U1MVXOaj8PK2l7WJ3RER9xtqwdhxkhw/edit?usp=sharing"",""กาญจนบุรี!J490"")"),0)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IFERROR(__xludf.DUMMYFUNCTION("IMPORTRANGE(""https://docs.google.com/spreadsheets/d/1SX6NBoVAgQJ6U1MVXOaj8PK2l7WJ3RER9xtqwdhxkhw/edit?usp=sharing"",""กาญจนบุรี!I491"")"),0)</f>
        <v>0</v>
      </c>
      <c r="J596" s="242">
        <f ca="1">IFERROR(__xludf.DUMMYFUNCTION("IMPORTRANGE(""https://docs.google.com/spreadsheets/d/1SX6NBoVAgQJ6U1MVXOaj8PK2l7WJ3RER9xtqwdhxkhw/edit?usp=sharing"",""กาญจนบุรี!J491"")"),0)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7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IFERROR(__xludf.DUMMYFUNCTION("IMPORTRANGE(""https://docs.google.com/spreadsheets/d/1SX6NBoVAgQJ6U1MVXOaj8PK2l7WJ3RER9xtqwdhxkhw/edit?usp=sharing"",""กาญจนบุรี!L492"")"),18300)</f>
        <v>18300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1.7486338797814207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IFERROR(__xludf.DUMMYFUNCTION("IMPORTRANGE(""https://docs.google.com/spreadsheets/d/1SX6NBoVAgQJ6U1MVXOaj8PK2l7WJ3RER9xtqwdhxkhw/edit?usp=sharing"",""กาญจนบุรี!L493"")"),0)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IFERROR(__xludf.DUMMYFUNCTION("IMPORTRANGE(""https://docs.google.com/spreadsheets/d/1SX6NBoVAgQJ6U1MVXOaj8PK2l7WJ3RER9xtqwdhxkhw/edit?usp=sharing"",""กาญจนบุรี!M493"")"),0)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IFERROR(__xludf.DUMMYFUNCTION("IMPORTRANGE(""https://docs.google.com/spreadsheets/d/1SX6NBoVAgQJ6U1MVXOaj8PK2l7WJ3RER9xtqwdhxkhw/edit?usp=sharing"",""กาญจนบุรี!L494"")"),18300)</f>
        <v>18300</v>
      </c>
      <c r="M599" s="165"/>
      <c r="N599" s="169">
        <f ca="1">IFERROR(__xludf.DUMMYFUNCTION("IMPORTRANGE(""https://docs.google.com/spreadsheets/d/1SX6NBoVAgQJ6U1MVXOaj8PK2l7WJ3RER9xtqwdhxkhw/edit?usp=sharing"",""กาญจนบุรี!M494"")"),320)</f>
        <v>320</v>
      </c>
      <c r="O599" s="169">
        <f t="shared" ca="1" si="126"/>
        <v>1.7486338797814207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IFERROR(__xludf.DUMMYFUNCTION("IMPORTRANGE(""https://docs.google.com/spreadsheets/d/1SX6NBoVAgQJ6U1MVXOaj8PK2l7WJ3RER9xtqwdhxkhw/edit?usp=sharing"",""กาญจนบุรี!L495"")"),0)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IFERROR(__xludf.DUMMYFUNCTION("IMPORTRANGE(""https://docs.google.com/spreadsheets/d/1SX6NBoVAgQJ6U1MVXOaj8PK2l7WJ3RER9xtqwdhxkhw/edit?usp=sharing"",""กาญจนบุรี!M495"")"),0)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IFERROR(__xludf.DUMMYFUNCTION("IMPORTRANGE(""https://docs.google.com/spreadsheets/d/1SX6NBoVAgQJ6U1MVXOaj8PK2l7WJ3RER9xtqwdhxkhw/edit?usp=sharing"",""กาญจนบุรี!L496"")"),18300)</f>
        <v>18300</v>
      </c>
      <c r="M601" s="169"/>
      <c r="N601" s="169">
        <f ca="1">IFERROR(__xludf.DUMMYFUNCTION("IMPORTRANGE(""https://docs.google.com/spreadsheets/d/1SX6NBoVAgQJ6U1MVXOaj8PK2l7WJ3RER9xtqwdhxkhw/edit?usp=sharing"",""กาญจนบุรี!M496"")"),320)</f>
        <v>320</v>
      </c>
      <c r="O601" s="169">
        <f t="shared" ca="1" si="126"/>
        <v>1.7486338797814207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IFERROR(__xludf.DUMMYFUNCTION("IMPORTRANGE(""https://docs.google.com/spreadsheets/d/1SX6NBoVAgQJ6U1MVXOaj8PK2l7WJ3RER9xtqwdhxkhw/edit?usp=sharing"",""กาญจนบุรี!M497"")"),0)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IFERROR(__xludf.DUMMYFUNCTION("IMPORTRANGE(""https://docs.google.com/spreadsheets/d/1SX6NBoVAgQJ6U1MVXOaj8PK2l7WJ3RER9xtqwdhxkhw/edit?usp=sharing"",""กาญจนบุรี!M498"")"),0)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IFERROR(__xludf.DUMMYFUNCTION("IMPORTRANGE(""https://docs.google.com/spreadsheets/d/1SX6NBoVAgQJ6U1MVXOaj8PK2l7WJ3RER9xtqwdhxkhw/edit?usp=sharing"",""กาญจนบุรี!J502"")"),0)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IFERROR(__xludf.DUMMYFUNCTION("IMPORTRANGE(""https://docs.google.com/spreadsheets/d/1SX6NBoVAgQJ6U1MVXOaj8PK2l7WJ3RER9xtqwdhxkhw/edit?usp=sharing"",""กาญจนบุรี!J503"")"),1)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IFERROR(__xludf.DUMMYFUNCTION("IMPORTRANGE(""https://docs.google.com/spreadsheets/d/1SX6NBoVAgQJ6U1MVXOaj8PK2l7WJ3RER9xtqwdhxkhw/edit?usp=sharing"",""กาญจนบุรี!J166"")"),0)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IFERROR(__xludf.DUMMYFUNCTION("IMPORTRANGE(""https://docs.google.com/spreadsheets/d/1SX6NBoVAgQJ6U1MVXOaj8PK2l7WJ3RER9xtqwdhxkhw/edit?usp=sharing"",""กาญจนบุรี!J166"")"),0)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IFERROR(__xludf.DUMMYFUNCTION("IMPORTRANGE(""https://docs.google.com/spreadsheets/d/1SX6NBoVAgQJ6U1MVXOaj8PK2l7WJ3RER9xtqwdhxkhw/edit?usp=sharing"",""กาญจนบุรี!I506"")"),300)</f>
        <v>300</v>
      </c>
      <c r="J611" s="162">
        <f ca="1">IFERROR(__xludf.DUMMYFUNCTION("IMPORTRANGE(""https://docs.google.com/spreadsheets/d/1SX6NBoVAgQJ6U1MVXOaj8PK2l7WJ3RER9xtqwdhxkhw/edit?usp=sharing"",""กาญจนบุรี!J506"")"),0)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IFERROR(__xludf.DUMMYFUNCTION("IMPORTRANGE(""https://docs.google.com/spreadsheets/d/1SX6NBoVAgQJ6U1MVXOaj8PK2l7WJ3RER9xtqwdhxkhw/edit?usp=sharing"",""กาญจนบุรี!I507"")"),0)</f>
        <v>0</v>
      </c>
      <c r="J612" s="198">
        <f ca="1">IFERROR(__xludf.DUMMYFUNCTION("IMPORTRANGE(""https://docs.google.com/spreadsheets/d/1SX6NBoVAgQJ6U1MVXOaj8PK2l7WJ3RER9xtqwdhxkhw/edit?usp=sharing"",""กาญจนบุรี!J507"")"),136.63)</f>
        <v>136.63</v>
      </c>
      <c r="K612" s="163">
        <f t="shared" ca="1" si="127"/>
        <v>45.543333333333337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IFERROR(__xludf.DUMMYFUNCTION("IMPORTRANGE(""https://docs.google.com/spreadsheets/d/1SX6NBoVAgQJ6U1MVXOaj8PK2l7WJ3RER9xtqwdhxkhw/edit?usp=sharing"",""กาญจนบุรี!I508"")"),0)</f>
        <v>0</v>
      </c>
      <c r="J613" s="198">
        <f ca="1">IFERROR(__xludf.DUMMYFUNCTION("IMPORTRANGE(""https://docs.google.com/spreadsheets/d/1SX6NBoVAgQJ6U1MVXOaj8PK2l7WJ3RER9xtqwdhxkhw/edit?usp=sharing"",""กาญจนบุรี!J508"")"),136.63)</f>
        <v>136.63</v>
      </c>
      <c r="K613" s="163">
        <f t="shared" ca="1" si="127"/>
        <v>45.543333333333337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IFERROR(__xludf.DUMMYFUNCTION("IMPORTRANGE(""https://docs.google.com/spreadsheets/d/1SX6NBoVAgQJ6U1MVXOaj8PK2l7WJ3RER9xtqwdhxkhw/edit?usp=sharing"",""กาญจนบุรี!I509"")"),0)</f>
        <v>0</v>
      </c>
      <c r="J614" s="198">
        <f ca="1">IFERROR(__xludf.DUMMYFUNCTION("IMPORTRANGE(""https://docs.google.com/spreadsheets/d/1SX6NBoVAgQJ6U1MVXOaj8PK2l7WJ3RER9xtqwdhxkhw/edit?usp=sharing"",""กาญจนบุรี!J509"")"),0)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IFERROR(__xludf.DUMMYFUNCTION("IMPORTRANGE(""https://docs.google.com/spreadsheets/d/1SX6NBoVAgQJ6U1MVXOaj8PK2l7WJ3RER9xtqwdhxkhw/edit?usp=sharing"",""กาญจนบุรี!I510"")"),0)</f>
        <v>0</v>
      </c>
      <c r="J615" s="198">
        <f ca="1">IFERROR(__xludf.DUMMYFUNCTION("IMPORTRANGE(""https://docs.google.com/spreadsheets/d/1SX6NBoVAgQJ6U1MVXOaj8PK2l7WJ3RER9xtqwdhxkhw/edit?usp=sharing"",""กาญจนบุรี!J510"")"),0)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IFERROR(__xludf.DUMMYFUNCTION("IMPORTRANGE(""https://docs.google.com/spreadsheets/d/1SX6NBoVAgQJ6U1MVXOaj8PK2l7WJ3RER9xtqwdhxkhw/edit?usp=sharing"",""กาญจนบุรี!I511"")"),0)</f>
        <v>0</v>
      </c>
      <c r="J616" s="198">
        <f ca="1">IFERROR(__xludf.DUMMYFUNCTION("IMPORTRANGE(""https://docs.google.com/spreadsheets/d/1SX6NBoVAgQJ6U1MVXOaj8PK2l7WJ3RER9xtqwdhxkhw/edit?usp=sharing"",""กาญจนบุรี!J511"")"),0)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IFERROR(__xludf.DUMMYFUNCTION("IMPORTRANGE(""https://docs.google.com/spreadsheets/d/1SX6NBoVAgQJ6U1MVXOaj8PK2l7WJ3RER9xtqwdhxkhw/edit?usp=sharing"",""กาญจนบุรี!I512"")"),0)</f>
        <v>0</v>
      </c>
      <c r="J617" s="188">
        <f ca="1">IFERROR(__xludf.DUMMYFUNCTION("IMPORTRANGE(""https://docs.google.com/spreadsheets/d/1SX6NBoVAgQJ6U1MVXOaj8PK2l7WJ3RER9xtqwdhxkhw/edit?usp=sharing"",""กาญจนบุรี!J512"")"),0)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IFERROR(__xludf.DUMMYFUNCTION("IMPORTRANGE(""https://docs.google.com/spreadsheets/d/1SX6NBoVAgQJ6U1MVXOaj8PK2l7WJ3RER9xtqwdhxkhw/edit?usp=sharing"",""กาญจนบุรี!I513"")"),0)</f>
        <v>0</v>
      </c>
      <c r="J618" s="189">
        <f ca="1">IFERROR(__xludf.DUMMYFUNCTION("IMPORTRANGE(""https://docs.google.com/spreadsheets/d/1SX6NBoVAgQJ6U1MVXOaj8PK2l7WJ3RER9xtqwdhxkhw/edit?usp=sharing"",""กาญจนบุรี!J513"")"),0)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IFERROR(__xludf.DUMMYFUNCTION("IMPORTRANGE(""https://docs.google.com/spreadsheets/d/1SX6NBoVAgQJ6U1MVXOaj8PK2l7WJ3RER9xtqwdhxkhw/edit?usp=sharing"",""กาญจนบุรี!I514"")"),0)</f>
        <v>0</v>
      </c>
      <c r="J619" s="189">
        <f ca="1">IFERROR(__xludf.DUMMYFUNCTION("IMPORTRANGE(""https://docs.google.com/spreadsheets/d/1SX6NBoVAgQJ6U1MVXOaj8PK2l7WJ3RER9xtqwdhxkhw/edit?usp=sharing"",""กาญจนบุรี!J514"")"),0)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IFERROR(__xludf.DUMMYFUNCTION("IMPORTRANGE(""https://docs.google.com/spreadsheets/d/1SX6NBoVAgQJ6U1MVXOaj8PK2l7WJ3RER9xtqwdhxkhw/edit?usp=sharing"",""กาญจนบุรี!I515"")"),0)</f>
        <v>0</v>
      </c>
      <c r="J620" s="203">
        <f ca="1">IFERROR(__xludf.DUMMYFUNCTION("IMPORTRANGE(""https://docs.google.com/spreadsheets/d/1SX6NBoVAgQJ6U1MVXOaj8PK2l7WJ3RER9xtqwdhxkhw/edit?usp=sharing"",""กาญจนบุรี!J515"")"),0)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IFERROR(__xludf.DUMMYFUNCTION("IMPORTRANGE(""https://docs.google.com/spreadsheets/d/1SX6NBoVAgQJ6U1MVXOaj8PK2l7WJ3RER9xtqwdhxkhw/edit?usp=sharing"",""กาญจนบุรี!I516"")"),0)</f>
        <v>0</v>
      </c>
      <c r="J621" s="203">
        <f ca="1">IFERROR(__xludf.DUMMYFUNCTION("IMPORTRANGE(""https://docs.google.com/spreadsheets/d/1SX6NBoVAgQJ6U1MVXOaj8PK2l7WJ3RER9xtqwdhxkhw/edit?usp=sharing"",""กาญจนบุรี!J516"")"),0)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IFERROR(__xludf.DUMMYFUNCTION("IMPORTRANGE(""https://docs.google.com/spreadsheets/d/1SX6NBoVAgQJ6U1MVXOaj8PK2l7WJ3RER9xtqwdhxkhw/edit?usp=sharing"",""กาญจนบุรี!I517"")"),0)</f>
        <v>0</v>
      </c>
      <c r="J622" s="189">
        <f ca="1">IFERROR(__xludf.DUMMYFUNCTION("IMPORTRANGE(""https://docs.google.com/spreadsheets/d/1SX6NBoVAgQJ6U1MVXOaj8PK2l7WJ3RER9xtqwdhxkhw/edit?usp=sharing"",""กาญจนบุรี!J517"")"),0)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IFERROR(__xludf.DUMMYFUNCTION("IMPORTRANGE(""https://docs.google.com/spreadsheets/d/1SX6NBoVAgQJ6U1MVXOaj8PK2l7WJ3RER9xtqwdhxkhw/edit?usp=sharing"",""กาญจนบุรี!I518"")"),0)</f>
        <v>0</v>
      </c>
      <c r="J623" s="189">
        <f ca="1">IFERROR(__xludf.DUMMYFUNCTION("IMPORTRANGE(""https://docs.google.com/spreadsheets/d/1SX6NBoVAgQJ6U1MVXOaj8PK2l7WJ3RER9xtqwdhxkhw/edit?usp=sharing"",""กาญจนบุรี!J518"")"),0)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IFERROR(__xludf.DUMMYFUNCTION("IMPORTRANGE(""https://docs.google.com/spreadsheets/d/1SX6NBoVAgQJ6U1MVXOaj8PK2l7WJ3RER9xtqwdhxkhw/edit?usp=sharing"",""กาญจนบุรี!I519"")"),0)</f>
        <v>0</v>
      </c>
      <c r="J624" s="188">
        <f ca="1">IFERROR(__xludf.DUMMYFUNCTION("IMPORTRANGE(""https://docs.google.com/spreadsheets/d/1SX6NBoVAgQJ6U1MVXOaj8PK2l7WJ3RER9xtqwdhxkhw/edit?usp=sharing"",""กาญจนบุรี!J519"")"),0)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IFERROR(__xludf.DUMMYFUNCTION("IMPORTRANGE(""https://docs.google.com/spreadsheets/d/1SX6NBoVAgQJ6U1MVXOaj8PK2l7WJ3RER9xtqwdhxkhw/edit?usp=sharing"",""กาญจนบุรี!I520"")"),0)</f>
        <v>0</v>
      </c>
      <c r="J625" s="189">
        <f ca="1">IFERROR(__xludf.DUMMYFUNCTION("IMPORTRANGE(""https://docs.google.com/spreadsheets/d/1SX6NBoVAgQJ6U1MVXOaj8PK2l7WJ3RER9xtqwdhxkhw/edit?usp=sharing"",""กาญจนบุรี!J520"")"),0)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IFERROR(__xludf.DUMMYFUNCTION("IMPORTRANGE(""https://docs.google.com/spreadsheets/d/1SX6NBoVAgQJ6U1MVXOaj8PK2l7WJ3RER9xtqwdhxkhw/edit?usp=sharing"",""กาญจนบุรี!I521"")"),0)</f>
        <v>0</v>
      </c>
      <c r="J626" s="189">
        <f ca="1">IFERROR(__xludf.DUMMYFUNCTION("IMPORTRANGE(""https://docs.google.com/spreadsheets/d/1SX6NBoVAgQJ6U1MVXOaj8PK2l7WJ3RER9xtqwdhxkhw/edit?usp=sharing"",""กาญจนบุรี!J521"")"),0)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IFERROR(__xludf.DUMMYFUNCTION("IMPORTRANGE(""https://docs.google.com/spreadsheets/d/1SX6NBoVAgQJ6U1MVXOaj8PK2l7WJ3RER9xtqwdhxkhw/edit?usp=sharing"",""กาญจนบุรี!I523"")"),1500000)</f>
        <v>1500000</v>
      </c>
      <c r="J628" s="342">
        <f ca="1">IFERROR(__xludf.DUMMYFUNCTION("IMPORTRANGE(""https://docs.google.com/spreadsheets/d/1SX6NBoVAgQJ6U1MVXOaj8PK2l7WJ3RER9xtqwdhxkhw/edit?usp=sharing"",""กาญจนบุรี!J523"")"),1546909.06)</f>
        <v>1546909.06</v>
      </c>
      <c r="K628" s="343">
        <f t="shared" ref="K628:K635" ca="1" si="129">IF(I628&gt;0,J628*100/I628,0)</f>
        <v>103.12727066666666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IFERROR(__xludf.DUMMYFUNCTION("IMPORTRANGE(""https://docs.google.com/spreadsheets/d/1SX6NBoVAgQJ6U1MVXOaj8PK2l7WJ3RER9xtqwdhxkhw/edit?usp=sharing"",""กาญจนบุรี!I524"")"),50)</f>
        <v>50</v>
      </c>
      <c r="J629" s="342">
        <f ca="1">IFERROR(__xludf.DUMMYFUNCTION("IMPORTRANGE(""https://docs.google.com/spreadsheets/d/1SX6NBoVAgQJ6U1MVXOaj8PK2l7WJ3RER9xtqwdhxkhw/edit?usp=sharing"",""กาญจนบุรี!J524"")"),55)</f>
        <v>55</v>
      </c>
      <c r="K629" s="343">
        <f t="shared" ca="1" si="129"/>
        <v>110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2">
        <f ca="1">IFERROR(__xludf.DUMMYFUNCTION("IMPORTRANGE(""https://docs.google.com/spreadsheets/d/1SX6NBoVAgQJ6U1MVXOaj8PK2l7WJ3RER9xtqwdhxkhw/edit?usp=sharing"",""กาญจนบุรี!J525"")"),1276249.53)</f>
        <v>1276249.53</v>
      </c>
      <c r="K630" s="343">
        <f t="shared" ca="1" si="129"/>
        <v>6.1064014604954044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IFERROR(__xludf.DUMMYFUNCTION("IMPORTRANGE(""https://docs.google.com/spreadsheets/d/1SX6NBoVAgQJ6U1MVXOaj8PK2l7WJ3RER9xtqwdhxkhw/edit?usp=sharing"",""กาญจนบุรี!I526"")"),734)</f>
        <v>734</v>
      </c>
      <c r="J631" s="342">
        <f ca="1">IFERROR(__xludf.DUMMYFUNCTION("IMPORTRANGE(""https://docs.google.com/spreadsheets/d/1SX6NBoVAgQJ6U1MVXOaj8PK2l7WJ3RER9xtqwdhxkhw/edit?usp=sharing"",""กาญจนบุรี!J526"")"),121)</f>
        <v>121</v>
      </c>
      <c r="K631" s="343">
        <f t="shared" ca="1" si="129"/>
        <v>16.485013623978201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2">
        <f ca="1">IFERROR(__xludf.DUMMYFUNCTION("IMPORTRANGE(""https://docs.google.com/spreadsheets/d/1SX6NBoVAgQJ6U1MVXOaj8PK2l7WJ3RER9xtqwdhxkhw/edit?usp=sharing"",""กาญจนบุรี!J527"")"),177223.07)</f>
        <v>177223.07</v>
      </c>
      <c r="K632" s="343">
        <f t="shared" ca="1" si="129"/>
        <v>29.131968671692853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IFERROR(__xludf.DUMMYFUNCTION("IMPORTRANGE(""https://docs.google.com/spreadsheets/d/1SX6NBoVAgQJ6U1MVXOaj8PK2l7WJ3RER9xtqwdhxkhw/edit?usp=sharing"",""กาญจนบุรี!I528"")"),179)</f>
        <v>179</v>
      </c>
      <c r="J633" s="342">
        <f ca="1">IFERROR(__xludf.DUMMYFUNCTION("IMPORTRANGE(""https://docs.google.com/spreadsheets/d/1SX6NBoVAgQJ6U1MVXOaj8PK2l7WJ3RER9xtqwdhxkhw/edit?usp=sharing"",""กาญจนบุรี!J528"")"),53)</f>
        <v>53</v>
      </c>
      <c r="K633" s="343">
        <f t="shared" ca="1" si="129"/>
        <v>29.608938547486034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IFERROR(__xludf.DUMMYFUNCTION("IMPORTRANGE(""https://docs.google.com/spreadsheets/d/1SX6NBoVAgQJ6U1MVXOaj8PK2l7WJ3RER9xtqwdhxkhw/edit?usp=sharing"",""กาญจนบุรี!I529"")"),2100000)</f>
        <v>2100000</v>
      </c>
      <c r="J634" s="342">
        <f ca="1">IFERROR(__xludf.DUMMYFUNCTION("IMPORTRANGE(""https://docs.google.com/spreadsheets/d/1SX6NBoVAgQJ6U1MVXOaj8PK2l7WJ3RER9xtqwdhxkhw/edit?usp=sharing"",""กาญจนบุรี!J529"")"),1920000)</f>
        <v>1920000</v>
      </c>
      <c r="K634" s="343">
        <f t="shared" ca="1" si="129"/>
        <v>91.428571428571431</v>
      </c>
      <c r="L634" s="343"/>
      <c r="M634" s="343"/>
      <c r="N634" s="343"/>
      <c r="O634" s="169"/>
      <c r="P634" s="169"/>
    </row>
    <row r="635" spans="1:16" ht="21.75" customHeight="1" x14ac:dyDescent="0.35">
      <c r="A635" s="555"/>
      <c r="B635" s="556"/>
      <c r="C635" s="556"/>
      <c r="D635" s="557"/>
      <c r="E635" s="558"/>
      <c r="F635" s="558"/>
      <c r="G635" s="559"/>
      <c r="H635" s="503" t="s">
        <v>37</v>
      </c>
      <c r="I635" s="504">
        <f ca="1">IFERROR(__xludf.DUMMYFUNCTION("IMPORTRANGE(""https://docs.google.com/spreadsheets/d/1SX6NBoVAgQJ6U1MVXOaj8PK2l7WJ3RER9xtqwdhxkhw/edit?usp=sharing"",""กาญจนบุรี!I530"")"),70)</f>
        <v>70</v>
      </c>
      <c r="J635" s="504">
        <f ca="1">IFERROR(__xludf.DUMMYFUNCTION("IMPORTRANGE(""https://docs.google.com/spreadsheets/d/1SX6NBoVAgQJ6U1MVXOaj8PK2l7WJ3RER9xtqwdhxkhw/edit?usp=sharing"",""กาญจนบุรี!J530"")"),64)</f>
        <v>64</v>
      </c>
      <c r="K635" s="486">
        <f t="shared" ca="1" si="129"/>
        <v>91.428571428571431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IFERROR(__xludf.DUMMYFUNCTION("IMPORTRANGE(""https://docs.google.com/spreadsheets/d/1SX6NBoVAgQJ6U1MVXOaj8PK2l7WJ3RER9xtqwdhxkhw/edit#gid=346597447"",""กาญจนบุรี!J541"")"),0)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IFERROR(__xludf.DUMMYFUNCTION("IMPORTRANGE(""https://docs.google.com/spreadsheets/d/1SX6NBoVAgQJ6U1MVXOaj8PK2l7WJ3RER9xtqwdhxkhw/edit#gid=346597447"",""กาญจนบุรี!J542"")"),0)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IFERROR(__xludf.DUMMYFUNCTION("IMPORTRANGE(""https://docs.google.com/spreadsheets/d/1SX6NBoVAgQJ6U1MVXOaj8PK2l7WJ3RER9xtqwdhxkhw/edit#gid=346597447"",""กาญจนบุรี!I543"")"),0)</f>
        <v>0</v>
      </c>
      <c r="J648" s="536">
        <f ca="1">IFERROR(__xludf.DUMMYFUNCTION("IMPORTRANGE(""https://docs.google.com/spreadsheets/d/1SX6NBoVAgQJ6U1MVXOaj8PK2l7WJ3RER9xtqwdhxkhw/edit#gid=346597447"",""กาญจนบุรี!J543"")"),0)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IFERROR(__xludf.DUMMYFUNCTION("IMPORTRANGE(""https://docs.google.com/spreadsheets/d/1SX6NBoVAgQJ6U1MVXOaj8PK2l7WJ3RER9xtqwdhxkhw/edit#gid=346597447"",""กาญจนบุรี!L543"")"),0)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IFERROR(__xludf.DUMMYFUNCTION("IMPORTRANGE(""https://docs.google.com/spreadsheets/d/1SX6NBoVAgQJ6U1MVXOaj8PK2l7WJ3RER9xtqwdhxkhw/edit#gid=346597447"",""กาญจนบุรี!M543"")"),0)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IFERROR(__xludf.DUMMYFUNCTION("IMPORTRANGE(""https://docs.google.com/spreadsheets/d/1SX6NBoVAgQJ6U1MVXOaj8PK2l7WJ3RER9xtqwdhxkhw/edit#gid=346597447"",""กาญจนบุรี!I544"")"),0)</f>
        <v>0</v>
      </c>
      <c r="J649" s="536">
        <f ca="1">IFERROR(__xludf.DUMMYFUNCTION("IMPORTRANGE(""https://docs.google.com/spreadsheets/d/1SX6NBoVAgQJ6U1MVXOaj8PK2l7WJ3RER9xtqwdhxkhw/edit#gid=346597447"",""กาญจนบุรี!J544"")"),0)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IFERROR(__xludf.DUMMYFUNCTION("IMPORTRANGE(""https://docs.google.com/spreadsheets/d/1SX6NBoVAgQJ6U1MVXOaj8PK2l7WJ3RER9xtqwdhxkhw/edit#gid=346597447"",""กาญจนบุรี!L544"")"),0)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IFERROR(__xludf.DUMMYFUNCTION("IMPORTRANGE(""https://docs.google.com/spreadsheets/d/1SX6NBoVAgQJ6U1MVXOaj8PK2l7WJ3RER9xtqwdhxkhw/edit#gid=346597447"",""กาญจนบุรี!M544"")"),0)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IFERROR(__xludf.DUMMYFUNCTION("IMPORTRANGE(""https://docs.google.com/spreadsheets/d/1SX6NBoVAgQJ6U1MVXOaj8PK2l7WJ3RER9xtqwdhxkhw/edit#gid=346597447"",""กาญจนบุรี!I545"")"),0)</f>
        <v>0</v>
      </c>
      <c r="J650" s="536">
        <f ca="1">IFERROR(__xludf.DUMMYFUNCTION("IMPORTRANGE(""https://docs.google.com/spreadsheets/d/1SX6NBoVAgQJ6U1MVXOaj8PK2l7WJ3RER9xtqwdhxkhw/edit#gid=346597447"",""กาญจนบุรี!J545"")"),0)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IFERROR(__xludf.DUMMYFUNCTION("IMPORTRANGE(""https://docs.google.com/spreadsheets/d/1SX6NBoVAgQJ6U1MVXOaj8PK2l7WJ3RER9xtqwdhxkhw/edit#gid=346597447"",""กาญจนบุรี!L545"")"),0)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IFERROR(__xludf.DUMMYFUNCTION("IMPORTRANGE(""https://docs.google.com/spreadsheets/d/1SX6NBoVAgQJ6U1MVXOaj8PK2l7WJ3RER9xtqwdhxkhw/edit#gid=346597447"",""กาญจนบุรี!M545"")"),0)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IFERROR(__xludf.DUMMYFUNCTION("IMPORTRANGE(""https://docs.google.com/spreadsheets/d/1SX6NBoVAgQJ6U1MVXOaj8PK2l7WJ3RER9xtqwdhxkhw/edit#gid=346597447"",""กาญจนบุรี!I546"")"),0)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IFERROR(__xludf.DUMMYFUNCTION("IMPORTRANGE(""https://docs.google.com/spreadsheets/d/1SX6NBoVAgQJ6U1MVXOaj8PK2l7WJ3RER9xtqwdhxkhw/edit#gid=346597447"",""กาญจนบุรี!L546"")"),0)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IFERROR(__xludf.DUMMYFUNCTION("IMPORTRANGE(""https://docs.google.com/spreadsheets/d/1SX6NBoVAgQJ6U1MVXOaj8PK2l7WJ3RER9xtqwdhxkhw/edit#gid=346597447"",""กาญจนบุรี!M546"")"),0)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IFERROR(__xludf.DUMMYFUNCTION("IMPORTRANGE(""https://docs.google.com/spreadsheets/d/1SX6NBoVAgQJ6U1MVXOaj8PK2l7WJ3RER9xtqwdhxkhw/edit#gid=346597447"",""กาญจนบุรี!J547"")"),0)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IFERROR(__xludf.DUMMYFUNCTION("IMPORTRANGE(""https://docs.google.com/spreadsheets/d/1SX6NBoVAgQJ6U1MVXOaj8PK2l7WJ3RER9xtqwdhxkhw/edit#gid=346597447"",""กาญจนบุรี!J548"")"),0)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IFERROR(__xludf.DUMMYFUNCTION("IMPORTRANGE(""https://docs.google.com/spreadsheets/d/1SX6NBoVAgQJ6U1MVXOaj8PK2l7WJ3RER9xtqwdhxkhw/edit#gid=346597447"",""กาญจนบุรี!J550"")"),0)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IFERROR(__xludf.DUMMYFUNCTION("IMPORTRANGE(""https://docs.google.com/spreadsheets/d/1SX6NBoVAgQJ6U1MVXOaj8PK2l7WJ3RER9xtqwdhxkhw/edit#gid=346597447"",""กาญจนบุรี!J551"")"),0)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IFERROR(__xludf.DUMMYFUNCTION("IMPORTRANGE(""https://docs.google.com/spreadsheets/d/1SX6NBoVAgQJ6U1MVXOaj8PK2l7WJ3RER9xtqwdhxkhw/edit#gid=346597447"",""กาญจนบุรี!J552"")"),0)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IFERROR(__xludf.DUMMYFUNCTION("IMPORTRANGE(""https://docs.google.com/spreadsheets/d/1SX6NBoVAgQJ6U1MVXOaj8PK2l7WJ3RER9xtqwdhxkhw/edit#gid=346597447"",""กาญจนบุรี!J553"")"),0)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IFERROR(__xludf.DUMMYFUNCTION("IMPORTRANGE(""https://docs.google.com/spreadsheets/d/1SX6NBoVAgQJ6U1MVXOaj8PK2l7WJ3RER9xtqwdhxkhw/edit#gid=346597447"",""กาญจนบุรี!J554"")"),0)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IFERROR(__xludf.DUMMYFUNCTION("IMPORTRANGE(""https://docs.google.com/spreadsheets/d/1SX6NBoVAgQJ6U1MVXOaj8PK2l7WJ3RER9xtqwdhxkhw/edit#gid=346597447"",""กาญจนบุรี!J555"")"),0)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IFERROR(__xludf.DUMMYFUNCTION("IMPORTRANGE(""https://docs.google.com/spreadsheets/d/1SX6NBoVAgQJ6U1MVXOaj8PK2l7WJ3RER9xtqwdhxkhw/edit#gid=346597447"",""กาญจนบุรี!J556"")"),0)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IFERROR(__xludf.DUMMYFUNCTION("IMPORTRANGE(""https://docs.google.com/spreadsheets/d/1SX6NBoVAgQJ6U1MVXOaj8PK2l7WJ3RER9xtqwdhxkhw/edit#gid=346597447"",""กาญจนบุรี!L556"")"),0)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IFERROR(__xludf.DUMMYFUNCTION("IMPORTRANGE(""https://docs.google.com/spreadsheets/d/1SX6NBoVAgQJ6U1MVXOaj8PK2l7WJ3RER9xtqwdhxkhw/edit#gid=346597447"",""กาญจนบุรี!M556"")"),0)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IFERROR(__xludf.DUMMYFUNCTION("IMPORTRANGE(""https://docs.google.com/spreadsheets/d/1SX6NBoVAgQJ6U1MVXOaj8PK2l7WJ3RER9xtqwdhxkhw/edit#gid=346597447"",""กาญจนบุรี!J557"")"),0)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IFERROR(__xludf.DUMMYFUNCTION("IMPORTRANGE(""https://docs.google.com/spreadsheets/d/1SX6NBoVAgQJ6U1MVXOaj8PK2l7WJ3RER9xtqwdhxkhw/edit#gid=346597447"",""กาญจนบุรี!I558"")"),0)</f>
        <v>0</v>
      </c>
      <c r="J663" s="536">
        <f ca="1">IFERROR(__xludf.DUMMYFUNCTION("IMPORTRANGE(""https://docs.google.com/spreadsheets/d/1SX6NBoVAgQJ6U1MVXOaj8PK2l7WJ3RER9xtqwdhxkhw/edit#gid=346597447"",""กาญจนบุรี!J558"")"),0)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IFERROR(__xludf.DUMMYFUNCTION("IMPORTRANGE(""https://docs.google.com/spreadsheets/d/1SX6NBoVAgQJ6U1MVXOaj8PK2l7WJ3RER9xtqwdhxkhw/edit#gid=346597447"",""กาญจนบุรี!I560"")"),0)</f>
        <v>0</v>
      </c>
      <c r="J665" s="536">
        <f ca="1">IFERROR(__xludf.DUMMYFUNCTION("IMPORTRANGE(""https://docs.google.com/spreadsheets/d/1SX6NBoVAgQJ6U1MVXOaj8PK2l7WJ3RER9xtqwdhxkhw/edit#gid=346597447"",""กาญจนบุรี!J560"")"),0)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IFERROR(__xludf.DUMMYFUNCTION("IMPORTRANGE(""https://docs.google.com/spreadsheets/d/1SX6NBoVAgQJ6U1MVXOaj8PK2l7WJ3RER9xtqwdhxkhw/edit#gid=346597447"",""กาญจนบุรี!L560"")"),0)</f>
        <v>0</v>
      </c>
      <c r="M665" s="521"/>
      <c r="N665" s="538">
        <f ca="1">IFERROR(__xludf.DUMMYFUNCTION("IMPORTRANGE(""https://docs.google.com/spreadsheets/d/1SX6NBoVAgQJ6U1MVXOaj8PK2l7WJ3RER9xtqwdhxkhw/edit#gid=346597447"",""กาญจนบุรี!M560"")"),0)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IFERROR(__xludf.DUMMYFUNCTION("IMPORTRANGE(""https://docs.google.com/spreadsheets/d/1SX6NBoVAgQJ6U1MVXOaj8PK2l7WJ3RER9xtqwdhxkhw/edit#gid=346597447"",""กาญจนบุรี!J561"")"),0)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IFERROR(__xludf.DUMMYFUNCTION("IMPORTRANGE(""https://docs.google.com/spreadsheets/d/1SX6NBoVAgQJ6U1MVXOaj8PK2l7WJ3RER9xtqwdhxkhw/edit#gid=346597447"",""กาญจนบุรี!J562"")"),0)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IFERROR(__xludf.DUMMYFUNCTION("IMPORTRANGE(""https://docs.google.com/spreadsheets/d/1SX6NBoVAgQJ6U1MVXOaj8PK2l7WJ3RER9xtqwdhxkhw/edit#gid=346597447"",""กาญจนบุรี!I563"")"),0)</f>
        <v>0</v>
      </c>
      <c r="J668" s="536">
        <f ca="1">IFERROR(__xludf.DUMMYFUNCTION("IMPORTRANGE(""https://docs.google.com/spreadsheets/d/1SX6NBoVAgQJ6U1MVXOaj8PK2l7WJ3RER9xtqwdhxkhw/edit#gid=346597447"",""กาญจนบุรี!J563"")"),0)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IFERROR(__xludf.DUMMYFUNCTION("IMPORTRANGE(""https://docs.google.com/spreadsheets/d/1SX6NBoVAgQJ6U1MVXOaj8PK2l7WJ3RER9xtqwdhxkhw/edit#gid=346597447"",""กาญจนบุรี!L563"")"),0)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IFERROR(__xludf.DUMMYFUNCTION("IMPORTRANGE(""https://docs.google.com/spreadsheets/d/1SX6NBoVAgQJ6U1MVXOaj8PK2l7WJ3RER9xtqwdhxkhw/edit#gid=346597447"",""กาญจนบุรี!M563"")"),0)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IFERROR(__xludf.DUMMYFUNCTION("IMPORTRANGE(""https://docs.google.com/spreadsheets/d/1SX6NBoVAgQJ6U1MVXOaj8PK2l7WJ3RER9xtqwdhxkhw/edit#gid=346597447"",""กาญจนบุรี!J564"")"),0)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IFERROR(__xludf.DUMMYFUNCTION("IMPORTRANGE(""https://docs.google.com/spreadsheets/d/1SX6NBoVAgQJ6U1MVXOaj8PK2l7WJ3RER9xtqwdhxkhw/edit#gid=346597447"",""กาญจนบุรี!J565"")"),0)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IFERROR(__xludf.DUMMYFUNCTION("IMPORTRANGE(""https://docs.google.com/spreadsheets/d/1SX6NBoVAgQJ6U1MVXOaj8PK2l7WJ3RER9xtqwdhxkhw/edit#gid=346597447"",""กาญจนบุรี!I566"")"),0)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IFERROR(__xludf.DUMMYFUNCTION("IMPORTRANGE(""https://docs.google.com/spreadsheets/d/1SX6NBoVAgQJ6U1MVXOaj8PK2l7WJ3RER9xtqwdhxkhw/edit#gid=346597447"",""กาญจนบุรี!L566"")"),0)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IFERROR(__xludf.DUMMYFUNCTION("IMPORTRANGE(""https://docs.google.com/spreadsheets/d/1SX6NBoVAgQJ6U1MVXOaj8PK2l7WJ3RER9xtqwdhxkhw/edit#gid=346597447"",""กาญจนบุรี!M566"")"),0)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IFERROR(__xludf.DUMMYFUNCTION("IMPORTRANGE(""https://docs.google.com/spreadsheets/d/1SX6NBoVAgQJ6U1MVXOaj8PK2l7WJ3RER9xtqwdhxkhw/edit#gid=346597447"",""กาญจนบุรี!J567"")"),0)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IFERROR(__xludf.DUMMYFUNCTION("IMPORTRANGE(""https://docs.google.com/spreadsheets/d/1SX6NBoVAgQJ6U1MVXOaj8PK2l7WJ3RER9xtqwdhxkhw/edit#gid=346597447"",""กาญจนบุรี!J568"")"),0)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IFERROR(__xludf.DUMMYFUNCTION("IMPORTRANGE(""https://docs.google.com/spreadsheets/d/1SX6NBoVAgQJ6U1MVXOaj8PK2l7WJ3RER9xtqwdhxkhw/edit#gid=346597447"",""กาญจนบุรี!J569"")"),0)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IFERROR(__xludf.DUMMYFUNCTION("IMPORTRANGE(""https://docs.google.com/spreadsheets/d/1SX6NBoVAgQJ6U1MVXOaj8PK2l7WJ3RER9xtqwdhxkhw/edit#gid=346597447"",""กาญจนบุรี!J570"")"),0)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IFERROR(__xludf.DUMMYFUNCTION("IMPORTRANGE(""https://docs.google.com/spreadsheets/d/1SX6NBoVAgQJ6U1MVXOaj8PK2l7WJ3RER9xtqwdhxkhw/edit#gid=346597447"",""กาญจนบุรี!J571"")"),0)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IFERROR(__xludf.DUMMYFUNCTION("IMPORTRANGE(""https://docs.google.com/spreadsheets/d/1SX6NBoVAgQJ6U1MVXOaj8PK2l7WJ3RER9xtqwdhxkhw/edit#gid=346597447"",""กาญจนบุรี!J572"")"),0)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296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2229095</v>
      </c>
      <c r="M8" s="23">
        <f t="shared" ca="1" si="0"/>
        <v>1470782</v>
      </c>
      <c r="N8" s="23">
        <f t="shared" ca="1" si="0"/>
        <v>1491361.0599999998</v>
      </c>
      <c r="O8" s="22">
        <f t="shared" ref="O8:O16" ca="1" si="1">IF(L8&gt;0,N8*100/L8,0)</f>
        <v>66.904329335447784</v>
      </c>
      <c r="P8" s="22">
        <f t="shared" ref="P8:P16" ca="1" si="2">IF(M8&gt;0,N8*100/M8,0)</f>
        <v>101.39919172249863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2229095</v>
      </c>
      <c r="M10" s="30">
        <f t="shared" ca="1" si="4"/>
        <v>1470782</v>
      </c>
      <c r="N10" s="30">
        <f t="shared" ca="1" si="4"/>
        <v>1491361.0599999998</v>
      </c>
      <c r="O10" s="29">
        <f t="shared" ca="1" si="1"/>
        <v>66.904329335447784</v>
      </c>
      <c r="P10" s="29">
        <f t="shared" ca="1" si="2"/>
        <v>101.39919172249863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2094095</v>
      </c>
      <c r="M12" s="38">
        <f t="shared" ca="1" si="6"/>
        <v>1335782</v>
      </c>
      <c r="N12" s="38">
        <f t="shared" ca="1" si="6"/>
        <v>1356361.0599999998</v>
      </c>
      <c r="O12" s="38">
        <f t="shared" ca="1" si="1"/>
        <v>64.770751088178883</v>
      </c>
      <c r="P12" s="38">
        <f t="shared" ca="1" si="2"/>
        <v>101.54060018775516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1677900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416195</v>
      </c>
      <c r="M14" s="38">
        <f t="shared" si="8"/>
        <v>0</v>
      </c>
      <c r="N14" s="38">
        <f t="shared" ca="1" si="8"/>
        <v>175369.66</v>
      </c>
      <c r="O14" s="38">
        <f t="shared" ca="1" si="1"/>
        <v>42.136416823844591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135000</v>
      </c>
      <c r="M16" s="38">
        <f t="shared" ca="1" si="10"/>
        <v>135000</v>
      </c>
      <c r="N16" s="38">
        <f t="shared" ca="1" si="10"/>
        <v>135000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1904865</v>
      </c>
      <c r="M18" s="23">
        <f t="shared" ca="1" si="11"/>
        <v>1470782</v>
      </c>
      <c r="N18" s="23">
        <f t="shared" ca="1" si="11"/>
        <v>1315991.3999999999</v>
      </c>
      <c r="O18" s="22">
        <f t="shared" ref="O18:O20" ca="1" si="12">IF(L18&gt;0,N18*100/L18,0)</f>
        <v>69.085809230575393</v>
      </c>
      <c r="P18" s="22">
        <f t="shared" ref="P18:P26" ca="1" si="13">IF(M18&gt;0,N18*100/M18,0)</f>
        <v>89.475625891532516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1904865</v>
      </c>
      <c r="M20" s="30">
        <f t="shared" ca="1" si="15"/>
        <v>1470782</v>
      </c>
      <c r="N20" s="30">
        <f t="shared" ca="1" si="15"/>
        <v>1315991.3999999999</v>
      </c>
      <c r="O20" s="29">
        <f t="shared" ca="1" si="12"/>
        <v>69.085809230575393</v>
      </c>
      <c r="P20" s="29">
        <f t="shared" ca="1" si="13"/>
        <v>89.475625891532516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1769865</v>
      </c>
      <c r="M22" s="41">
        <f t="shared" ca="1" si="18"/>
        <v>1335782</v>
      </c>
      <c r="N22" s="38">
        <f t="shared" ca="1" si="18"/>
        <v>1180991.3999999999</v>
      </c>
      <c r="O22" s="38">
        <f t="shared" ca="1" si="17"/>
        <v>66.727767372087698</v>
      </c>
      <c r="P22" s="38">
        <f t="shared" ca="1" si="13"/>
        <v>88.411986387000269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1677900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91965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135000</v>
      </c>
      <c r="M26" s="49">
        <f t="shared" ca="1" si="22"/>
        <v>135000</v>
      </c>
      <c r="N26" s="49">
        <f t="shared" ca="1" si="22"/>
        <v>135000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324230</v>
      </c>
      <c r="M28" s="23">
        <f t="shared" si="23"/>
        <v>0</v>
      </c>
      <c r="N28" s="23">
        <f t="shared" ca="1" si="23"/>
        <v>175369.66</v>
      </c>
      <c r="O28" s="22">
        <f t="shared" ref="O28:O30" ca="1" si="24">IF(L28&gt;0,N28*100/L28,0)</f>
        <v>54.088042439009342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324230</v>
      </c>
      <c r="M30" s="30">
        <f t="shared" si="27"/>
        <v>0</v>
      </c>
      <c r="N30" s="30">
        <f t="shared" ca="1" si="27"/>
        <v>175369.66</v>
      </c>
      <c r="O30" s="29">
        <f t="shared" ca="1" si="24"/>
        <v>54.088042439009342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324230</v>
      </c>
      <c r="M32" s="38">
        <f t="shared" si="30"/>
        <v>0</v>
      </c>
      <c r="N32" s="38">
        <f t="shared" ca="1" si="30"/>
        <v>175369.66</v>
      </c>
      <c r="O32" s="38">
        <f t="shared" ca="1" si="29"/>
        <v>54.088042439009342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324230</v>
      </c>
      <c r="M34" s="38">
        <f t="shared" si="32"/>
        <v>0</v>
      </c>
      <c r="N34" s="38">
        <f t="shared" ca="1" si="32"/>
        <v>175369.66</v>
      </c>
      <c r="O34" s="38">
        <f t="shared" ca="1" si="29"/>
        <v>54.088042439009342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1904865</v>
      </c>
      <c r="M37" s="54">
        <f t="shared" ca="1" si="33"/>
        <v>1470782</v>
      </c>
      <c r="N37" s="54">
        <f t="shared" ca="1" si="33"/>
        <v>1315991.3999999999</v>
      </c>
      <c r="O37" s="55">
        <f t="shared" ca="1" si="29"/>
        <v>69.085809230575393</v>
      </c>
      <c r="P37" s="55">
        <f t="shared" ca="1" si="25"/>
        <v>89.475625891532516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663100</v>
      </c>
      <c r="N41" s="78">
        <f t="shared" ca="1" si="34"/>
        <v>609875.99</v>
      </c>
      <c r="O41" s="77">
        <f t="shared" ref="O41:O43" ca="1" si="35">IF(L41&gt;0,N41*100/L41,0)</f>
        <v>68.982693134260828</v>
      </c>
      <c r="P41" s="77">
        <f t="shared" ref="P41:P43" ca="1" si="36">IF(M41&gt;0,N41*100/M41,0)</f>
        <v>91.973456492233453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663100</v>
      </c>
      <c r="N43" s="78">
        <f t="shared" ca="1" si="38"/>
        <v>609875.99</v>
      </c>
      <c r="O43" s="77">
        <f t="shared" ca="1" si="35"/>
        <v>68.982693134260828</v>
      </c>
      <c r="P43" s="77">
        <f t="shared" ca="1" si="36"/>
        <v>91.973456492233453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IFERROR(__xludf.DUMMYFUNCTION("IMPORTRANGE(""https://docs.google.com/spreadsheets/d/1Yj_ptqi66GCucihVvJfMjLAmec39IyEx_6qawtMGysU/edit?usp=sharing"",""สบก!Q77"")"),663100)</f>
        <v>663100</v>
      </c>
      <c r="N45" s="49">
        <f ca="1">IFERROR(__xludf.DUMMYFUNCTION("IMPORTRANGE(""https://docs.google.com/spreadsheets/d/1Yj_ptqi66GCucihVvJfMjLAmec39IyEx_6qawtMGysU/edit?usp=sharing"",""สบก!R77"")"),609875.99)</f>
        <v>609875.99</v>
      </c>
      <c r="O45" s="38">
        <f ca="1">IF(L45&gt;0,N45*100/L45,0)</f>
        <v>68.982693134260828</v>
      </c>
      <c r="P45" s="38">
        <f ca="1">IF(M45&gt;0,N45*100/M45,0)</f>
        <v>91.973456492233453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239472</v>
      </c>
      <c r="N53" s="121">
        <f t="shared" ca="1" si="39"/>
        <v>209631</v>
      </c>
      <c r="O53" s="120">
        <f t="shared" ref="O53:O55" ca="1" si="40">IF(L53&gt;0,N53*100/L53,0)</f>
        <v>69.876999999999995</v>
      </c>
      <c r="P53" s="120">
        <f t="shared" ref="P53:P55" ca="1" si="41">IF(M53&gt;0,N53*100/M53,0)</f>
        <v>87.538835437963513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239472</v>
      </c>
      <c r="N55" s="121">
        <f t="shared" ca="1" si="43"/>
        <v>209631</v>
      </c>
      <c r="O55" s="120">
        <f t="shared" ca="1" si="40"/>
        <v>69.876999999999995</v>
      </c>
      <c r="P55" s="120">
        <f t="shared" ca="1" si="41"/>
        <v>87.538835437963513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IFERROR(__xludf.DUMMYFUNCTION("IMPORTRANGE(""https://docs.google.com/spreadsheets/d/1Yj_ptqi66GCucihVvJfMjLAmec39IyEx_6qawtMGysU/edit?usp=sharing"",""สบก!Z77"")"),239472)</f>
        <v>239472</v>
      </c>
      <c r="N57" s="49">
        <f ca="1">IFERROR(__xludf.DUMMYFUNCTION("IMPORTRANGE(""https://docs.google.com/spreadsheets/d/1Yj_ptqi66GCucihVvJfMjLAmec39IyEx_6qawtMGysU/edit?usp=sharing"",""สบก!AA77"")"),209631)</f>
        <v>209631</v>
      </c>
      <c r="O57" s="38">
        <f ca="1">IF(L57&gt;0,N57*100/L57,0)</f>
        <v>69.876999999999995</v>
      </c>
      <c r="P57" s="38">
        <f ca="1">IF(M57&gt;0,N57*100/M57,0)</f>
        <v>87.538835437963513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IFERROR(__xludf.DUMMYFUNCTION("IMPORTRANGE(""https://docs.google.com/spreadsheets/d/1Yj_ptqi66GCucihVvJfMjLAmec39IyEx_6qawtMGysU/edit?usp=sharing"",""สบก!AI77"")"),0)</f>
        <v>0</v>
      </c>
      <c r="N70" s="169">
        <f ca="1">IFERROR(__xludf.DUMMYFUNCTION("IMPORTRANGE(""https://docs.google.com/spreadsheets/d/1Yj_ptqi66GCucihVvJfMjLAmec39IyEx_6qawtMGysU/edit?usp=sharing"",""สบก!AJ77"")"),0)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IFERROR(__xludf.DUMMYFUNCTION("IMPORTRANGE(""https://docs.google.com/spreadsheets/d/1Yj_ptqi66GCucihVvJfMjLAmec39IyEx_6qawtMGysU/edit?usp=sharing"",""สบก!AE77"")"),0)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IFERROR(__xludf.DUMMYFUNCTION("IMPORTRANGE(""https://docs.google.com/spreadsheets/d/1Yj_ptqi66GCucihVvJfMjLAmec39IyEx_6qawtMGysU/edit?usp=sharing"",""สบก!AF77"")"),0)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IFERROR(__xludf.DUMMYFUNCTION("IMPORTRANGE(""https://docs.google.com/spreadsheets/d/1SX6NBoVAgQJ6U1MVXOaj8PK2l7WJ3RER9xtqwdhxkhw/edit?usp=sharing"",""สิงห์บุรี!J16"")"),0)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IFERROR(__xludf.DUMMYFUNCTION("IMPORTRANGE(""https://docs.google.com/spreadsheets/d/1SX6NBoVAgQJ6U1MVXOaj8PK2l7WJ3RER9xtqwdhxkhw/edit?usp=sharing"",""สิงห์บุรี!J17"")"),0)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IFERROR(__xludf.DUMMYFUNCTION("IMPORTRANGE(""https://docs.google.com/spreadsheets/d/1SX6NBoVAgQJ6U1MVXOaj8PK2l7WJ3RER9xtqwdhxkhw/edit?usp=sharing"",""สิงห์บุรี!J18"")"),0)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IFERROR(__xludf.DUMMYFUNCTION("IMPORTRANGE(""https://docs.google.com/spreadsheets/d/1SX6NBoVAgQJ6U1MVXOaj8PK2l7WJ3RER9xtqwdhxkhw/edit?usp=sharing"",""สิงห์บุรี!J19"")"),0)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IFERROR(__xludf.DUMMYFUNCTION("IMPORTRANGE(""https://docs.google.com/spreadsheets/d/1SX6NBoVAgQJ6U1MVXOaj8PK2l7WJ3RER9xtqwdhxkhw/edit?usp=sharing"",""สิงห์บุรี!I20"")"),0)</f>
        <v>0</v>
      </c>
      <c r="J80" s="201">
        <f ca="1">IFERROR(__xludf.DUMMYFUNCTION("IMPORTRANGE(""https://docs.google.com/spreadsheets/d/1SX6NBoVAgQJ6U1MVXOaj8PK2l7WJ3RER9xtqwdhxkhw/edit?usp=sharing"",""สิงห์บุรี!J20"")"),0)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IFERROR(__xludf.DUMMYFUNCTION("IMPORTRANGE(""https://docs.google.com/spreadsheets/d/1SX6NBoVAgQJ6U1MVXOaj8PK2l7WJ3RER9xtqwdhxkhw/edit?usp=sharing"",""สิงห์บุรี!I21"")"),0)</f>
        <v>0</v>
      </c>
      <c r="J81" s="201">
        <f ca="1">IFERROR(__xludf.DUMMYFUNCTION("IMPORTRANGE(""https://docs.google.com/spreadsheets/d/1SX6NBoVAgQJ6U1MVXOaj8PK2l7WJ3RER9xtqwdhxkhw/edit?usp=sharing"",""สิงห์บุรี!J21"")"),0)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IFERROR(__xludf.DUMMYFUNCTION("IMPORTRANGE(""https://docs.google.com/spreadsheets/d/1SX6NBoVAgQJ6U1MVXOaj8PK2l7WJ3RER9xtqwdhxkhw/edit?usp=sharing"",""สิงห์บุรี!I22"")"),0)</f>
        <v>0</v>
      </c>
      <c r="J82" s="204">
        <f ca="1">IFERROR(__xludf.DUMMYFUNCTION("IMPORTRANGE(""https://docs.google.com/spreadsheets/d/1SX6NBoVAgQJ6U1MVXOaj8PK2l7WJ3RER9xtqwdhxkhw/edit?usp=sharing"",""สิงห์บุรี!J22"")"),0)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IFERROR(__xludf.DUMMYFUNCTION("IMPORTRANGE(""https://docs.google.com/spreadsheets/d/1SX6NBoVAgQJ6U1MVXOaj8PK2l7WJ3RER9xtqwdhxkhw/edit?usp=sharing"",""สิงห์บุรี!I23"")"),0)</f>
        <v>0</v>
      </c>
      <c r="J83" s="204">
        <f ca="1">IFERROR(__xludf.DUMMYFUNCTION("IMPORTRANGE(""https://docs.google.com/spreadsheets/d/1SX6NBoVAgQJ6U1MVXOaj8PK2l7WJ3RER9xtqwdhxkhw/edit?usp=sharing"",""สิงห์บุรี!J23"")"),0)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IFERROR(__xludf.DUMMYFUNCTION("IMPORTRANGE(""https://docs.google.com/spreadsheets/d/1SX6NBoVAgQJ6U1MVXOaj8PK2l7WJ3RER9xtqwdhxkhw/edit?usp=sharing"",""สิงห์บุรี!I24"")"),0)</f>
        <v>0</v>
      </c>
      <c r="J84" s="189">
        <f ca="1">IFERROR(__xludf.DUMMYFUNCTION("IMPORTRANGE(""https://docs.google.com/spreadsheets/d/1SX6NBoVAgQJ6U1MVXOaj8PK2l7WJ3RER9xtqwdhxkhw/edit?usp=sharing"",""สิงห์บุรี!J24"")"),0)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IFERROR(__xludf.DUMMYFUNCTION("IMPORTRANGE(""https://docs.google.com/spreadsheets/d/1SX6NBoVAgQJ6U1MVXOaj8PK2l7WJ3RER9xtqwdhxkhw/edit?usp=sharing"",""สิงห์บุรี!I25"")"),0)</f>
        <v>0</v>
      </c>
      <c r="J85" s="189">
        <f ca="1">IFERROR(__xludf.DUMMYFUNCTION("IMPORTRANGE(""https://docs.google.com/spreadsheets/d/1SX6NBoVAgQJ6U1MVXOaj8PK2l7WJ3RER9xtqwdhxkhw/edit?usp=sharing"",""สิงห์บุรี!J25"")"),0)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IFERROR(__xludf.DUMMYFUNCTION("IMPORTRANGE(""https://docs.google.com/spreadsheets/d/1SX6NBoVAgQJ6U1MVXOaj8PK2l7WJ3RER9xtqwdhxkhw/edit?usp=sharing"",""สิงห์บุรี!I26"")"),0)</f>
        <v>0</v>
      </c>
      <c r="J86" s="204">
        <f ca="1">IFERROR(__xludf.DUMMYFUNCTION("IMPORTRANGE(""https://docs.google.com/spreadsheets/d/1SX6NBoVAgQJ6U1MVXOaj8PK2l7WJ3RER9xtqwdhxkhw/edit?usp=sharing"",""สิงห์บุรี!J26"")"),0)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IFERROR(__xludf.DUMMYFUNCTION("IMPORTRANGE(""https://docs.google.com/spreadsheets/d/1SX6NBoVAgQJ6U1MVXOaj8PK2l7WJ3RER9xtqwdhxkhw/edit?usp=sharing"",""สิงห์บุรี!I27"")"),0)</f>
        <v>0</v>
      </c>
      <c r="J87" s="204">
        <f ca="1">IFERROR(__xludf.DUMMYFUNCTION("IMPORTRANGE(""https://docs.google.com/spreadsheets/d/1SX6NBoVAgQJ6U1MVXOaj8PK2l7WJ3RER9xtqwdhxkhw/edit?usp=sharing"",""สิงห์บุรี!J27"")"),0)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IFERROR(__xludf.DUMMYFUNCTION("IMPORTRANGE(""https://docs.google.com/spreadsheets/d/1SX6NBoVAgQJ6U1MVXOaj8PK2l7WJ3RER9xtqwdhxkhw/edit?usp=sharing"",""สิงห์บุรี!I28"")"),0)</f>
        <v>0</v>
      </c>
      <c r="J88" s="204">
        <f ca="1">IFERROR(__xludf.DUMMYFUNCTION("IMPORTRANGE(""https://docs.google.com/spreadsheets/d/1SX6NBoVAgQJ6U1MVXOaj8PK2l7WJ3RER9xtqwdhxkhw/edit?usp=sharing"",""สิงห์บุรี!J28"")"),0)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IFERROR(__xludf.DUMMYFUNCTION("IMPORTRANGE(""https://docs.google.com/spreadsheets/d/1SX6NBoVAgQJ6U1MVXOaj8PK2l7WJ3RER9xtqwdhxkhw/edit?usp=sharing"",""สิงห์บุรี!J29"")"),0)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IFERROR(__xludf.DUMMYFUNCTION("IMPORTRANGE(""https://docs.google.com/spreadsheets/d/1SX6NBoVAgQJ6U1MVXOaj8PK2l7WJ3RER9xtqwdhxkhw/edit?usp=sharing"",""สิงห์บุรี!J30"")"),0)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IFERROR(__xludf.DUMMYFUNCTION("IMPORTRANGE(""https://docs.google.com/spreadsheets/d/1Yj_ptqi66GCucihVvJfMjLAmec39IyEx_6qawtMGysU/edit?usp=sharing"",""สบก!AR77"")"),0)</f>
        <v>0</v>
      </c>
      <c r="N98" s="169">
        <f ca="1">IFERROR(__xludf.DUMMYFUNCTION("IMPORTRANGE(""https://docs.google.com/spreadsheets/d/1Yj_ptqi66GCucihVvJfMjLAmec39IyEx_6qawtMGysU/edit?usp=sharing"",""สบก!AS77"")"),0)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IFERROR(__xludf.DUMMYFUNCTION("IMPORTRANGE(""https://docs.google.com/spreadsheets/d/1Yj_ptqi66GCucihVvJfMjLAmec39IyEx_6qawtMGysU/edit?usp=sharing"",""สบก!AO77"")"),0)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IFERROR(__xludf.DUMMYFUNCTION("IMPORTRANGE(""https://docs.google.com/spreadsheets/d/1SX6NBoVAgQJ6U1MVXOaj8PK2l7WJ3RER9xtqwdhxkhw/edit?usp=sharing"",""สิงห์บุรี!J39"")"),0)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IFERROR(__xludf.DUMMYFUNCTION("IMPORTRANGE(""https://docs.google.com/spreadsheets/d/1SX6NBoVAgQJ6U1MVXOaj8PK2l7WJ3RER9xtqwdhxkhw/edit?usp=sharing"",""สิงห์บุรี!J40"")"),0)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IFERROR(__xludf.DUMMYFUNCTION("IMPORTRANGE(""https://docs.google.com/spreadsheets/d/1SX6NBoVAgQJ6U1MVXOaj8PK2l7WJ3RER9xtqwdhxkhw/edit?usp=sharing"",""สิงห์บุรี!J41"")"),0)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IFERROR(__xludf.DUMMYFUNCTION("IMPORTRANGE(""https://docs.google.com/spreadsheets/d/1SX6NBoVAgQJ6U1MVXOaj8PK2l7WJ3RER9xtqwdhxkhw/edit?usp=sharing"",""สิงห์บุรี!J42"")"),0)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IFERROR(__xludf.DUMMYFUNCTION("IMPORTRANGE(""https://docs.google.com/spreadsheets/d/1SX6NBoVAgQJ6U1MVXOaj8PK2l7WJ3RER9xtqwdhxkhw/edit?usp=sharing"",""สิงห์บุรี!I43"")"),0)</f>
        <v>0</v>
      </c>
      <c r="J108" s="204">
        <f ca="1">IFERROR(__xludf.DUMMYFUNCTION("IMPORTRANGE(""https://docs.google.com/spreadsheets/d/1SX6NBoVAgQJ6U1MVXOaj8PK2l7WJ3RER9xtqwdhxkhw/edit?usp=sharing"",""สิงห์บุรี!J43"")"),0)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IFERROR(__xludf.DUMMYFUNCTION("IMPORTRANGE(""https://docs.google.com/spreadsheets/d/1SX6NBoVAgQJ6U1MVXOaj8PK2l7WJ3RER9xtqwdhxkhw/edit?usp=sharing"",""สิงห์บุรี!I44"")"),0)</f>
        <v>0</v>
      </c>
      <c r="J109" s="204">
        <f ca="1">IFERROR(__xludf.DUMMYFUNCTION("IMPORTRANGE(""https://docs.google.com/spreadsheets/d/1SX6NBoVAgQJ6U1MVXOaj8PK2l7WJ3RER9xtqwdhxkhw/edit?usp=sharing"",""สิงห์บุรี!J44"")"),0)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IFERROR(__xludf.DUMMYFUNCTION("IMPORTRANGE(""https://docs.google.com/spreadsheets/d/1SX6NBoVAgQJ6U1MVXOaj8PK2l7WJ3RER9xtqwdhxkhw/edit?usp=sharing"",""สิงห์บุรี!I45"")"),0)</f>
        <v>0</v>
      </c>
      <c r="J110" s="204">
        <f ca="1">IFERROR(__xludf.DUMMYFUNCTION("IMPORTRANGE(""https://docs.google.com/spreadsheets/d/1SX6NBoVAgQJ6U1MVXOaj8PK2l7WJ3RER9xtqwdhxkhw/edit?usp=sharing"",""สิงห์บุรี!J45"")"),0)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IFERROR(__xludf.DUMMYFUNCTION("IMPORTRANGE(""https://docs.google.com/spreadsheets/d/1SX6NBoVAgQJ6U1MVXOaj8PK2l7WJ3RER9xtqwdhxkhw/edit?usp=sharing"",""สิงห์บุรี!I46"")"),0)</f>
        <v>0</v>
      </c>
      <c r="J111" s="204">
        <f ca="1">IFERROR(__xludf.DUMMYFUNCTION("IMPORTRANGE(""https://docs.google.com/spreadsheets/d/1SX6NBoVAgQJ6U1MVXOaj8PK2l7WJ3RER9xtqwdhxkhw/edit?usp=sharing"",""สิงห์บุรี!J46"")"),0)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IFERROR(__xludf.DUMMYFUNCTION("IMPORTRANGE(""https://docs.google.com/spreadsheets/d/1SX6NBoVAgQJ6U1MVXOaj8PK2l7WJ3RER9xtqwdhxkhw/edit?usp=sharing"",""สิงห์บุรี!I47"")"),0)</f>
        <v>0</v>
      </c>
      <c r="J112" s="204">
        <f ca="1">IFERROR(__xludf.DUMMYFUNCTION("IMPORTRANGE(""https://docs.google.com/spreadsheets/d/1SX6NBoVAgQJ6U1MVXOaj8PK2l7WJ3RER9xtqwdhxkhw/edit?usp=sharing"",""สิงห์บุรี!J47"")"),0)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IFERROR(__xludf.DUMMYFUNCTION("IMPORTRANGE(""https://docs.google.com/spreadsheets/d/1SX6NBoVAgQJ6U1MVXOaj8PK2l7WJ3RER9xtqwdhxkhw/edit?usp=sharing"",""สิงห์บุรี!I48"")"),0)</f>
        <v>0</v>
      </c>
      <c r="J113" s="204">
        <f ca="1">IFERROR(__xludf.DUMMYFUNCTION("IMPORTRANGE(""https://docs.google.com/spreadsheets/d/1SX6NBoVAgQJ6U1MVXOaj8PK2l7WJ3RER9xtqwdhxkhw/edit?usp=sharing"",""สิงห์บุรี!J48"")"),0)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IFERROR(__xludf.DUMMYFUNCTION("IMPORTRANGE(""https://docs.google.com/spreadsheets/d/1SX6NBoVAgQJ6U1MVXOaj8PK2l7WJ3RER9xtqwdhxkhw/edit?usp=sharing"",""สิงห์บุรี!J49"")"),0)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IFERROR(__xludf.DUMMYFUNCTION("IMPORTRANGE(""https://docs.google.com/spreadsheets/d/1SX6NBoVAgQJ6U1MVXOaj8PK2l7WJ3RER9xtqwdhxkhw/edit?usp=sharing"",""สิงห์บุรี!J50"")"),0)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IFERROR(__xludf.DUMMYFUNCTION("IMPORTRANGE(""https://docs.google.com/spreadsheets/d/1Yj_ptqi66GCucihVvJfMjLAmec39IyEx_6qawtMGysU/edit?usp=sharing"",""สบก!BA77"")"),0)</f>
        <v>0</v>
      </c>
      <c r="N122" s="169">
        <f ca="1">IFERROR(__xludf.DUMMYFUNCTION("IMPORTRANGE(""https://docs.google.com/spreadsheets/d/1Yj_ptqi66GCucihVvJfMjLAmec39IyEx_6qawtMGysU/edit?usp=sharing"",""สบก!BB77"")"),0)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IFERROR(__xludf.DUMMYFUNCTION("IMPORTRANGE(""https://docs.google.com/spreadsheets/d/1Yj_ptqi66GCucihVvJfMjLAmec39IyEx_6qawtMGysU/edit?usp=sharing"",""สบก!AX77"")"),0)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IFERROR(__xludf.DUMMYFUNCTION("IMPORTRANGE(""https://docs.google.com/spreadsheets/d/1SX6NBoVAgQJ6U1MVXOaj8PK2l7WJ3RER9xtqwdhxkhw/edit?usp=sharing"",""สิงห์บุรี!J58"")"),0)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IFERROR(__xludf.DUMMYFUNCTION("IMPORTRANGE(""https://docs.google.com/spreadsheets/d/1SX6NBoVAgQJ6U1MVXOaj8PK2l7WJ3RER9xtqwdhxkhw/edit?usp=sharing"",""สิงห์บุรี!J59"")"),0)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IFERROR(__xludf.DUMMYFUNCTION("IMPORTRANGE(""https://docs.google.com/spreadsheets/d/1SX6NBoVAgQJ6U1MVXOaj8PK2l7WJ3RER9xtqwdhxkhw/edit?usp=sharing"",""สิงห์บุรี!J60"")"),0)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IFERROR(__xludf.DUMMYFUNCTION("IMPORTRANGE(""https://docs.google.com/spreadsheets/d/1SX6NBoVAgQJ6U1MVXOaj8PK2l7WJ3RER9xtqwdhxkhw/edit?usp=sharing"",""สิงห์บุรี!J61"")"),0)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IFERROR(__xludf.DUMMYFUNCTION("IMPORTRANGE(""https://docs.google.com/spreadsheets/d/1SX6NBoVAgQJ6U1MVXOaj8PK2l7WJ3RER9xtqwdhxkhw/edit?usp=sharing"",""สิงห์บุรี!I62"")"),0)</f>
        <v>0</v>
      </c>
      <c r="J132" s="204">
        <f ca="1">IFERROR(__xludf.DUMMYFUNCTION("IMPORTRANGE(""https://docs.google.com/spreadsheets/d/1SX6NBoVAgQJ6U1MVXOaj8PK2l7WJ3RER9xtqwdhxkhw/edit?usp=sharing"",""สิงห์บุรี!J62"")"),0)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IFERROR(__xludf.DUMMYFUNCTION("IMPORTRANGE(""https://docs.google.com/spreadsheets/d/1SX6NBoVAgQJ6U1MVXOaj8PK2l7WJ3RER9xtqwdhxkhw/edit?usp=sharing"",""สิงห์บุรี!I63"")"),0)</f>
        <v>0</v>
      </c>
      <c r="J133" s="204">
        <f ca="1">IFERROR(__xludf.DUMMYFUNCTION("IMPORTRANGE(""https://docs.google.com/spreadsheets/d/1SX6NBoVAgQJ6U1MVXOaj8PK2l7WJ3RER9xtqwdhxkhw/edit?usp=sharing"",""สิงห์บุรี!J63"")"),0)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IFERROR(__xludf.DUMMYFUNCTION("IMPORTRANGE(""https://docs.google.com/spreadsheets/d/1SX6NBoVAgQJ6U1MVXOaj8PK2l7WJ3RER9xtqwdhxkhw/edit?usp=sharing"",""สิงห์บุรี!J64"")"),0)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IFERROR(__xludf.DUMMYFUNCTION("IMPORTRANGE(""https://docs.google.com/spreadsheets/d/1SX6NBoVAgQJ6U1MVXOaj8PK2l7WJ3RER9xtqwdhxkhw/edit?usp=sharing"",""สิงห์บุรี!J65"")"),0)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IFERROR(__xludf.DUMMYFUNCTION("IMPORTRANGE(""https://docs.google.com/spreadsheets/d/1SX6NBoVAgQJ6U1MVXOaj8PK2l7WJ3RER9xtqwdhxkhw/edit?usp=sharing"",""สิงห์บุรี!I68"")"),0)</f>
        <v>0</v>
      </c>
      <c r="J138" s="268">
        <f ca="1">IFERROR(__xludf.DUMMYFUNCTION("IMPORTRANGE(""https://docs.google.com/spreadsheets/d/1SX6NBoVAgQJ6U1MVXOaj8PK2l7WJ3RER9xtqwdhxkhw/edit?usp=sharing"",""สิงห์บุรี!J68"")"),0)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28700</v>
      </c>
      <c r="M140" s="152">
        <f t="shared" ca="1" si="64"/>
        <v>19625</v>
      </c>
      <c r="N140" s="152">
        <f t="shared" ca="1" si="64"/>
        <v>15500</v>
      </c>
      <c r="O140" s="151">
        <f t="shared" ref="O140:O142" ca="1" si="65">IF(L140&gt;0,N140*100/L140,0)</f>
        <v>54.00696864111498</v>
      </c>
      <c r="P140" s="151">
        <f t="shared" ref="P140:P142" ca="1" si="66">IF(M140&gt;0,N140*100/M140,0)</f>
        <v>78.980891719745216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28700</v>
      </c>
      <c r="M142" s="157">
        <f t="shared" ca="1" si="68"/>
        <v>19625</v>
      </c>
      <c r="N142" s="157">
        <f t="shared" ca="1" si="68"/>
        <v>15500</v>
      </c>
      <c r="O142" s="156">
        <f t="shared" ca="1" si="65"/>
        <v>54.00696864111498</v>
      </c>
      <c r="P142" s="156">
        <f t="shared" ca="1" si="66"/>
        <v>78.980891719745216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28700</v>
      </c>
      <c r="M144" s="168">
        <f ca="1">IFERROR(__xludf.DUMMYFUNCTION("IMPORTRANGE(""https://docs.google.com/spreadsheets/d/1Yj_ptqi66GCucihVvJfMjLAmec39IyEx_6qawtMGysU/edit?usp=sharing"",""สบก!BJ77"")"),19625)</f>
        <v>19625</v>
      </c>
      <c r="N144" s="169">
        <f ca="1">IFERROR(__xludf.DUMMYFUNCTION("IMPORTRANGE(""https://docs.google.com/spreadsheets/d/1Yj_ptqi66GCucihVvJfMjLAmec39IyEx_6qawtMGysU/edit?usp=sharing"",""สบก!BK77"")"),15500)</f>
        <v>15500</v>
      </c>
      <c r="O144" s="169">
        <f ca="1">IF(L144&gt;0,N144*100/L144,0)</f>
        <v>54.00696864111498</v>
      </c>
      <c r="P144" s="169">
        <f ca="1">IF(M144&gt;0,N144*100/M144,0)</f>
        <v>78.980891719745216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IFERROR(__xludf.DUMMYFUNCTION("IMPORTRANGE(""https://docs.google.com/spreadsheets/d/1Yj_ptqi66GCucihVvJfMjLAmec39IyEx_6qawtMGysU/edit?usp=sharing"",""สบก!BF77"")"),0)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IFERROR(__xludf.DUMMYFUNCTION("IMPORTRANGE(""https://docs.google.com/spreadsheets/d/1Yj_ptqi66GCucihVvJfMjLAmec39IyEx_6qawtMGysU/edit?usp=sharing"",""สบก!BG77"")"),28700)</f>
        <v>28700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IFERROR(__xludf.DUMMYFUNCTION("IMPORTRANGE(""https://docs.google.com/spreadsheets/d/1SX6NBoVAgQJ6U1MVXOaj8PK2l7WJ3RER9xtqwdhxkhw/edit?usp=sharing"",""สิงห์บุรี!I74"")"),4)</f>
        <v>4</v>
      </c>
      <c r="J149" s="276">
        <f ca="1">IFERROR(__xludf.DUMMYFUNCTION("IMPORTRANGE(""https://docs.google.com/spreadsheets/d/1SX6NBoVAgQJ6U1MVXOaj8PK2l7WJ3RER9xtqwdhxkhw/edit?usp=sharing"",""สิงห์บุรี!J74"")"),2)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IFERROR(__xludf.DUMMYFUNCTION("IMPORTRANGE(""https://docs.google.com/spreadsheets/d/1SX6NBoVAgQJ6U1MVXOaj8PK2l7WJ3RER9xtqwdhxkhw/edit?usp=sharing"",""สิงห์บุรี!J79"")"),0)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IFERROR(__xludf.DUMMYFUNCTION("IMPORTRANGE(""https://docs.google.com/spreadsheets/d/1SX6NBoVAgQJ6U1MVXOaj8PK2l7WJ3RER9xtqwdhxkhw/edit?usp=sharing"",""สิงห์บุรี!J80"")"),1)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IFERROR(__xludf.DUMMYFUNCTION("IMPORTRANGE(""https://docs.google.com/spreadsheets/d/1SX6NBoVAgQJ6U1MVXOaj8PK2l7WJ3RER9xtqwdhxkhw/edit?usp=sharing"",""สิงห์บุรี!J81"")"),1)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IFERROR(__xludf.DUMMYFUNCTION("IMPORTRANGE(""https://docs.google.com/spreadsheets/d/1SX6NBoVAgQJ6U1MVXOaj8PK2l7WJ3RER9xtqwdhxkhw/edit?usp=sharing"",""สิงห์บุรี!J82"")"),1)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IFERROR(__xludf.DUMMYFUNCTION("IMPORTRANGE(""https://docs.google.com/spreadsheets/d/1SX6NBoVAgQJ6U1MVXOaj8PK2l7WJ3RER9xtqwdhxkhw/edit?usp=sharing"",""สิงห์บุรี!I83"")"),4)</f>
        <v>4</v>
      </c>
      <c r="J158" s="189">
        <f ca="1">IFERROR(__xludf.DUMMYFUNCTION("IMPORTRANGE(""https://docs.google.com/spreadsheets/d/1SX6NBoVAgQJ6U1MVXOaj8PK2l7WJ3RER9xtqwdhxkhw/edit?usp=sharing"",""สิงห์บุรี!J83"")"),2)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IFERROR(__xludf.DUMMYFUNCTION("IMPORTRANGE(""https://docs.google.com/spreadsheets/d/1SX6NBoVAgQJ6U1MVXOaj8PK2l7WJ3RER9xtqwdhxkhw/edit?usp=sharing"",""สิงห์บุรี!J84"")"),55)</f>
        <v>55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IFERROR(__xludf.DUMMYFUNCTION("IMPORTRANGE(""https://docs.google.com/spreadsheets/d/1SX6NBoVAgQJ6U1MVXOaj8PK2l7WJ3RER9xtqwdhxkhw/edit?usp=sharing"",""สิงห์บุรี!J85"")"),55)</f>
        <v>55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IFERROR(__xludf.DUMMYFUNCTION("IMPORTRANGE(""https://docs.google.com/spreadsheets/d/1SX6NBoVAgQJ6U1MVXOaj8PK2l7WJ3RER9xtqwdhxkhw/edit?usp=sharing"",""สิงห์บุรี!J86"")"),0)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IFERROR(__xludf.DUMMYFUNCTION("IMPORTRANGE(""https://docs.google.com/spreadsheets/d/1SX6NBoVAgQJ6U1MVXOaj8PK2l7WJ3RER9xtqwdhxkhw/edit?usp=sharing"",""สิงห์บุรี!J87"")"),0)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IFERROR(__xludf.DUMMYFUNCTION("IMPORTRANGE(""https://docs.google.com/spreadsheets/d/1SX6NBoVAgQJ6U1MVXOaj8PK2l7WJ3RER9xtqwdhxkhw/edit?usp=sharing"",""สิงห์บุรี!J88"")"),0)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IFERROR(__xludf.DUMMYFUNCTION("IMPORTRANGE(""https://docs.google.com/spreadsheets/d/1SX6NBoVAgQJ6U1MVXOaj8PK2l7WJ3RER9xtqwdhxkhw/edit?usp=sharing"",""สิงห์บุรี!I89"")"),1)</f>
        <v>1</v>
      </c>
      <c r="J164" s="285">
        <f ca="1">IFERROR(__xludf.DUMMYFUNCTION("IMPORTRANGE(""https://docs.google.com/spreadsheets/d/1SX6NBoVAgQJ6U1MVXOaj8PK2l7WJ3RER9xtqwdhxkhw/edit?usp=sharing"",""สิงห์บุรี!J89"")"),1)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IFERROR(__xludf.DUMMYFUNCTION("IMPORTRANGE(""https://docs.google.com/spreadsheets/d/1SX6NBoVAgQJ6U1MVXOaj8PK2l7WJ3RER9xtqwdhxkhw/edit?usp=sharing"",""สิงห์บุรี!J94"")"),0)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IFERROR(__xludf.DUMMYFUNCTION("IMPORTRANGE(""https://docs.google.com/spreadsheets/d/1SX6NBoVAgQJ6U1MVXOaj8PK2l7WJ3RER9xtqwdhxkhw/edit?usp=sharing"",""สิงห์บุรี!J95"")"),0)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IFERROR(__xludf.DUMMYFUNCTION("IMPORTRANGE(""https://docs.google.com/spreadsheets/d/1SX6NBoVAgQJ6U1MVXOaj8PK2l7WJ3RER9xtqwdhxkhw/edit?usp=sharing"",""สิงห์บุรี!J96"")"),0)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IFERROR(__xludf.DUMMYFUNCTION("IMPORTRANGE(""https://docs.google.com/spreadsheets/d/1SX6NBoVAgQJ6U1MVXOaj8PK2l7WJ3RER9xtqwdhxkhw/edit?usp=sharing"",""สิงห์บุรี!J97"")"),0)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IFERROR(__xludf.DUMMYFUNCTION("IMPORTRANGE(""https://docs.google.com/spreadsheets/d/1SX6NBoVAgQJ6U1MVXOaj8PK2l7WJ3RER9xtqwdhxkhw/edit?usp=sharing"",""สิงห์บุรี!I98"")"),1)</f>
        <v>1</v>
      </c>
      <c r="J173" s="189">
        <f ca="1">IFERROR(__xludf.DUMMYFUNCTION("IMPORTRANGE(""https://docs.google.com/spreadsheets/d/1SX6NBoVAgQJ6U1MVXOaj8PK2l7WJ3RER9xtqwdhxkhw/edit?usp=sharing"",""สิงห์บุรี!J98"")"),1)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IFERROR(__xludf.DUMMYFUNCTION("IMPORTRANGE(""https://docs.google.com/spreadsheets/d/1SX6NBoVAgQJ6U1MVXOaj8PK2l7WJ3RER9xtqwdhxkhw/edit?usp=sharing"",""สิงห์บุรี!J99"")"),0)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IFERROR(__xludf.DUMMYFUNCTION("IMPORTRANGE(""https://docs.google.com/spreadsheets/d/1SX6NBoVAgQJ6U1MVXOaj8PK2l7WJ3RER9xtqwdhxkhw/edit?usp=sharing"",""สิงห์บุรี!J100"")"),1)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IFERROR(__xludf.DUMMYFUNCTION("IMPORTRANGE(""https://docs.google.com/spreadsheets/d/1SX6NBoVAgQJ6U1MVXOaj8PK2l7WJ3RER9xtqwdhxkhw/edit?usp=sharing"",""สิงห์บุรี!I101"")"),0)</f>
        <v>0</v>
      </c>
      <c r="J176" s="285">
        <f ca="1">IFERROR(__xludf.DUMMYFUNCTION("IMPORTRANGE(""https://docs.google.com/spreadsheets/d/1SX6NBoVAgQJ6U1MVXOaj8PK2l7WJ3RER9xtqwdhxkhw/edit?usp=sharing"",""สิงห์บุรี!J101"")"),0)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IFERROR(__xludf.DUMMYFUNCTION("IMPORTRANGE(""https://docs.google.com/spreadsheets/d/1SX6NBoVAgQJ6U1MVXOaj8PK2l7WJ3RER9xtqwdhxkhw/edit?usp=sharing"",""สิงห์บุรี!J106"")"),0)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IFERROR(__xludf.DUMMYFUNCTION("IMPORTRANGE(""https://docs.google.com/spreadsheets/d/1SX6NBoVAgQJ6U1MVXOaj8PK2l7WJ3RER9xtqwdhxkhw/edit?usp=sharing"",""สิงห์บุรี!J107"")"),0)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IFERROR(__xludf.DUMMYFUNCTION("IMPORTRANGE(""https://docs.google.com/spreadsheets/d/1SX6NBoVAgQJ6U1MVXOaj8PK2l7WJ3RER9xtqwdhxkhw/edit?usp=sharing"",""สิงห์บุรี!J108"")"),0)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IFERROR(__xludf.DUMMYFUNCTION("IMPORTRANGE(""https://docs.google.com/spreadsheets/d/1SX6NBoVAgQJ6U1MVXOaj8PK2l7WJ3RER9xtqwdhxkhw/edit?usp=sharing"",""สิงห์บุรี!J109"")"),0)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IFERROR(__xludf.DUMMYFUNCTION("IMPORTRANGE(""https://docs.google.com/spreadsheets/d/1SX6NBoVAgQJ6U1MVXOaj8PK2l7WJ3RER9xtqwdhxkhw/edit?usp=sharing"",""สิงห์บุรี!I110"")"),0)</f>
        <v>0</v>
      </c>
      <c r="J185" s="204">
        <f ca="1">IFERROR(__xludf.DUMMYFUNCTION("IMPORTRANGE(""https://docs.google.com/spreadsheets/d/1SX6NBoVAgQJ6U1MVXOaj8PK2l7WJ3RER9xtqwdhxkhw/edit?usp=sharing"",""สิงห์บุรี!J110"")"),0)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IFERROR(__xludf.DUMMYFUNCTION("IMPORTRANGE(""https://docs.google.com/spreadsheets/d/1SX6NBoVAgQJ6U1MVXOaj8PK2l7WJ3RER9xtqwdhxkhw/edit?usp=sharing"",""สิงห์บุรี!I111"")"),0)</f>
        <v>0</v>
      </c>
      <c r="J186" s="204">
        <f ca="1">IFERROR(__xludf.DUMMYFUNCTION("IMPORTRANGE(""https://docs.google.com/spreadsheets/d/1SX6NBoVAgQJ6U1MVXOaj8PK2l7WJ3RER9xtqwdhxkhw/edit?usp=sharing"",""สิงห์บุรี!J111"")"),0)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IFERROR(__xludf.DUMMYFUNCTION("IMPORTRANGE(""https://docs.google.com/spreadsheets/d/1SX6NBoVAgQJ6U1MVXOaj8PK2l7WJ3RER9xtqwdhxkhw/edit?usp=sharing"",""สิงห์บุรี!J112"")"),0)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IFERROR(__xludf.DUMMYFUNCTION("IMPORTRANGE(""https://docs.google.com/spreadsheets/d/1SX6NBoVAgQJ6U1MVXOaj8PK2l7WJ3RER9xtqwdhxkhw/edit?usp=sharing"",""สิงห์บุรี!J113"")"),0)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IFERROR(__xludf.DUMMYFUNCTION("IMPORTRANGE(""https://docs.google.com/spreadsheets/d/1SX6NBoVAgQJ6U1MVXOaj8PK2l7WJ3RER9xtqwdhxkhw/edit?usp=sharing"",""สิงห์บุรี!I114"")"),8000)</f>
        <v>8000</v>
      </c>
      <c r="J189" s="285">
        <f ca="1">IFERROR(__xludf.DUMMYFUNCTION("IMPORTRANGE(""https://docs.google.com/spreadsheets/d/1SX6NBoVAgQJ6U1MVXOaj8PK2l7WJ3RER9xtqwdhxkhw/edit?usp=sharing"",""สิงห์บุรี!J114"")"),0)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IFERROR(__xludf.DUMMYFUNCTION("IMPORTRANGE(""https://docs.google.com/spreadsheets/d/1SX6NBoVAgQJ6U1MVXOaj8PK2l7WJ3RER9xtqwdhxkhw/edit?usp=sharing"",""สิงห์บุรี!J119"")"),1)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IFERROR(__xludf.DUMMYFUNCTION("IMPORTRANGE(""https://docs.google.com/spreadsheets/d/1SX6NBoVAgQJ6U1MVXOaj8PK2l7WJ3RER9xtqwdhxkhw/edit?usp=sharing"",""สิงห์บุรี!J120"")"),0)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IFERROR(__xludf.DUMMYFUNCTION("IMPORTRANGE(""https://docs.google.com/spreadsheets/d/1SX6NBoVAgQJ6U1MVXOaj8PK2l7WJ3RER9xtqwdhxkhw/edit?usp=sharing"",""สิงห์บุรี!J121"")"),0)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IFERROR(__xludf.DUMMYFUNCTION("IMPORTRANGE(""https://docs.google.com/spreadsheets/d/1SX6NBoVAgQJ6U1MVXOaj8PK2l7WJ3RER9xtqwdhxkhw/edit?usp=sharing"",""สิงห์บุรี!J122"")"),0)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IFERROR(__xludf.DUMMYFUNCTION("IMPORTRANGE(""https://docs.google.com/spreadsheets/d/1SX6NBoVAgQJ6U1MVXOaj8PK2l7WJ3RER9xtqwdhxkhw/edit?usp=sharing"",""สิงห์บุรี!I124"")"),8000)</f>
        <v>8000</v>
      </c>
      <c r="J199" s="189">
        <f ca="1">IFERROR(__xludf.DUMMYFUNCTION("IMPORTRANGE(""https://docs.google.com/spreadsheets/d/1SX6NBoVAgQJ6U1MVXOaj8PK2l7WJ3RER9xtqwdhxkhw/edit?usp=sharing"",""สิงห์บุรี!J124"")"),0)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IFERROR(__xludf.DUMMYFUNCTION("IMPORTRANGE(""https://docs.google.com/spreadsheets/d/1SX6NBoVAgQJ6U1MVXOaj8PK2l7WJ3RER9xtqwdhxkhw/edit?usp=sharing"",""สิงห์บุรี!I125"")"),8000)</f>
        <v>8000</v>
      </c>
      <c r="J200" s="189">
        <f ca="1">IFERROR(__xludf.DUMMYFUNCTION("IMPORTRANGE(""https://docs.google.com/spreadsheets/d/1SX6NBoVAgQJ6U1MVXOaj8PK2l7WJ3RER9xtqwdhxkhw/edit?usp=sharing"",""สิงห์บุรี!J125"")"),0)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IFERROR(__xludf.DUMMYFUNCTION("IMPORTRANGE(""https://docs.google.com/spreadsheets/d/1SX6NBoVAgQJ6U1MVXOaj8PK2l7WJ3RER9xtqwdhxkhw/edit?usp=sharing"",""สิงห์บุรี!I126"")"),0)</f>
        <v>0</v>
      </c>
      <c r="J201" s="189">
        <f ca="1">IFERROR(__xludf.DUMMYFUNCTION("IMPORTRANGE(""https://docs.google.com/spreadsheets/d/1SX6NBoVAgQJ6U1MVXOaj8PK2l7WJ3RER9xtqwdhxkhw/edit?usp=sharing"",""สิงห์บุรี!J126"")"),0)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IFERROR(__xludf.DUMMYFUNCTION("IMPORTRANGE(""https://docs.google.com/spreadsheets/d/1SX6NBoVAgQJ6U1MVXOaj8PK2l7WJ3RER9xtqwdhxkhw/edit?usp=sharing"",""สิงห์บุรี!J127"")"),0)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IFERROR(__xludf.DUMMYFUNCTION("IMPORTRANGE(""https://docs.google.com/spreadsheets/d/1SX6NBoVAgQJ6U1MVXOaj8PK2l7WJ3RER9xtqwdhxkhw/edit?usp=sharing"",""สิงห์บุรี!J128"")"),0)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IFERROR(__xludf.DUMMYFUNCTION("IMPORTRANGE(""https://docs.google.com/spreadsheets/d/1SX6NBoVAgQJ6U1MVXOaj8PK2l7WJ3RER9xtqwdhxkhw/edit?usp=sharing"",""สิงห์บุรี!I129"")"),0)</f>
        <v>0</v>
      </c>
      <c r="J204" s="285">
        <f ca="1">IFERROR(__xludf.DUMMYFUNCTION("IMPORTRANGE(""https://docs.google.com/spreadsheets/d/1SX6NBoVAgQJ6U1MVXOaj8PK2l7WJ3RER9xtqwdhxkhw/edit?usp=sharing"",""สิงห์บุรี!J129"")"),0)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IFERROR(__xludf.DUMMYFUNCTION("IMPORTRANGE(""https://docs.google.com/spreadsheets/d/1SX6NBoVAgQJ6U1MVXOaj8PK2l7WJ3RER9xtqwdhxkhw/edit?usp=sharing"",""สิงห์บุรี!J134"")"),0)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IFERROR(__xludf.DUMMYFUNCTION("IMPORTRANGE(""https://docs.google.com/spreadsheets/d/1SX6NBoVAgQJ6U1MVXOaj8PK2l7WJ3RER9xtqwdhxkhw/edit?usp=sharing"",""สิงห์บุรี!J135"")"),0)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IFERROR(__xludf.DUMMYFUNCTION("IMPORTRANGE(""https://docs.google.com/spreadsheets/d/1SX6NBoVAgQJ6U1MVXOaj8PK2l7WJ3RER9xtqwdhxkhw/edit?usp=sharing"",""สิงห์บุรี!J136"")"),0)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IFERROR(__xludf.DUMMYFUNCTION("IMPORTRANGE(""https://docs.google.com/spreadsheets/d/1SX6NBoVAgQJ6U1MVXOaj8PK2l7WJ3RER9xtqwdhxkhw/edit?usp=sharing"",""สิงห์บุรี!J137"")"),0)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IFERROR(__xludf.DUMMYFUNCTION("IMPORTRANGE(""https://docs.google.com/spreadsheets/d/1SX6NBoVAgQJ6U1MVXOaj8PK2l7WJ3RER9xtqwdhxkhw/edit?usp=sharing"",""สิงห์บุรี!I138"")"),0)</f>
        <v>0</v>
      </c>
      <c r="J213" s="204">
        <f ca="1">IFERROR(__xludf.DUMMYFUNCTION("IMPORTRANGE(""https://docs.google.com/spreadsheets/d/1SX6NBoVAgQJ6U1MVXOaj8PK2l7WJ3RER9xtqwdhxkhw/edit?usp=sharing"",""สิงห์บุรี!J138"")"),0)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IFERROR(__xludf.DUMMYFUNCTION("IMPORTRANGE(""https://docs.google.com/spreadsheets/d/1SX6NBoVAgQJ6U1MVXOaj8PK2l7WJ3RER9xtqwdhxkhw/edit?usp=sharing"",""สิงห์บุรี!I140"")"),0)</f>
        <v>0</v>
      </c>
      <c r="J215" s="204">
        <f ca="1">IFERROR(__xludf.DUMMYFUNCTION("IMPORTRANGE(""https://docs.google.com/spreadsheets/d/1SX6NBoVAgQJ6U1MVXOaj8PK2l7WJ3RER9xtqwdhxkhw/edit?usp=sharing"",""สิงห์บุรี!J140"")"),0)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IFERROR(__xludf.DUMMYFUNCTION("IMPORTRANGE(""https://docs.google.com/spreadsheets/d/1SX6NBoVAgQJ6U1MVXOaj8PK2l7WJ3RER9xtqwdhxkhw/edit?usp=sharing"",""สิงห์บุรี!I141"")"),0)</f>
        <v>0</v>
      </c>
      <c r="J216" s="204">
        <f ca="1">IFERROR(__xludf.DUMMYFUNCTION("IMPORTRANGE(""https://docs.google.com/spreadsheets/d/1SX6NBoVAgQJ6U1MVXOaj8PK2l7WJ3RER9xtqwdhxkhw/edit?usp=sharing"",""สิงห์บุรี!J141"")"),0)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IFERROR(__xludf.DUMMYFUNCTION("IMPORTRANGE(""https://docs.google.com/spreadsheets/d/1SX6NBoVAgQJ6U1MVXOaj8PK2l7WJ3RER9xtqwdhxkhw/edit?usp=sharing"",""สิงห์บุรี!J142"")"),0)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IFERROR(__xludf.DUMMYFUNCTION("IMPORTRANGE(""https://docs.google.com/spreadsheets/d/1SX6NBoVAgQJ6U1MVXOaj8PK2l7WJ3RER9xtqwdhxkhw/edit?usp=sharing"",""สิงห์บุรี!J143"")"),0)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IFERROR(__xludf.DUMMYFUNCTION("IMPORTRANGE(""https://docs.google.com/spreadsheets/d/1SX6NBoVAgQJ6U1MVXOaj8PK2l7WJ3RER9xtqwdhxkhw/edit?usp=sharing"",""สิงห์บุรี!I144"")"),13)</f>
        <v>13</v>
      </c>
      <c r="J219" s="268">
        <f ca="1">IFERROR(__xludf.DUMMYFUNCTION("IMPORTRANGE(""https://docs.google.com/spreadsheets/d/1SX6NBoVAgQJ6U1MVXOaj8PK2l7WJ3RER9xtqwdhxkhw/edit?usp=sharing"",""สิงห์บุรี!J144"")"),13)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IFERROR(__xludf.DUMMYFUNCTION("IMPORTRANGE(""https://docs.google.com/spreadsheets/d/1Yj_ptqi66GCucihVvJfMjLAmec39IyEx_6qawtMGysU/edit?usp=sharing"",""สบก!BS77"")"),19295)</f>
        <v>19295</v>
      </c>
      <c r="N224" s="169">
        <f ca="1">IFERROR(__xludf.DUMMYFUNCTION("IMPORTRANGE(""https://docs.google.com/spreadsheets/d/1Yj_ptqi66GCucihVvJfMjLAmec39IyEx_6qawtMGysU/edit?usp=sharing"",""สบก!BT77"")"),19295)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IFERROR(__xludf.DUMMYFUNCTION("IMPORTRANGE(""https://docs.google.com/spreadsheets/d/1Yj_ptqi66GCucihVvJfMjLAmec39IyEx_6qawtMGysU/edit?usp=sharing"",""สบก!BP77"")"),19295)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IFERROR(__xludf.DUMMYFUNCTION("IMPORTRANGE(""https://docs.google.com/spreadsheets/d/1SX6NBoVAgQJ6U1MVXOaj8PK2l7WJ3RER9xtqwdhxkhw/edit?usp=sharing"",""สิงห์บุรี!I149"")"),13)</f>
        <v>13</v>
      </c>
      <c r="J229" s="268">
        <f ca="1">IFERROR(__xludf.DUMMYFUNCTION("IMPORTRANGE(""https://docs.google.com/spreadsheets/d/1SX6NBoVAgQJ6U1MVXOaj8PK2l7WJ3RER9xtqwdhxkhw/edit?usp=sharing"",""สิงห์บุรี!J149"")"),13)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IFERROR(__xludf.DUMMYFUNCTION("IMPORTRANGE(""https://docs.google.com/spreadsheets/d/1SX6NBoVAgQJ6U1MVXOaj8PK2l7WJ3RER9xtqwdhxkhw/edit?usp=sharing"",""สิงห์บุรี!J151"")"),0)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IFERROR(__xludf.DUMMYFUNCTION("IMPORTRANGE(""https://docs.google.com/spreadsheets/d/1SX6NBoVAgQJ6U1MVXOaj8PK2l7WJ3RER9xtqwdhxkhw/edit?usp=sharing"",""สิงห์บุรี!J152"")"),0)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IFERROR(__xludf.DUMMYFUNCTION("IMPORTRANGE(""https://docs.google.com/spreadsheets/d/1SX6NBoVAgQJ6U1MVXOaj8PK2l7WJ3RER9xtqwdhxkhw/edit?usp=sharing"",""สิงห์บุรี!J153"")"),0)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IFERROR(__xludf.DUMMYFUNCTION("IMPORTRANGE(""https://docs.google.com/spreadsheets/d/1SX6NBoVAgQJ6U1MVXOaj8PK2l7WJ3RER9xtqwdhxkhw/edit?usp=sharing"",""สิงห์บุรี!J154"")"),0)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IFERROR(__xludf.DUMMYFUNCTION("IMPORTRANGE(""https://docs.google.com/spreadsheets/d/1SX6NBoVAgQJ6U1MVXOaj8PK2l7WJ3RER9xtqwdhxkhw/edit?usp=sharing"",""สิงห์บุรี!I155"")"),13)</f>
        <v>13</v>
      </c>
      <c r="J235" s="189">
        <f ca="1">IFERROR(__xludf.DUMMYFUNCTION("IMPORTRANGE(""https://docs.google.com/spreadsheets/d/1SX6NBoVAgQJ6U1MVXOaj8PK2l7WJ3RER9xtqwdhxkhw/edit?usp=sharing"",""สิงห์บุรี!J155"")"),13)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IFERROR(__xludf.DUMMYFUNCTION("IMPORTRANGE(""https://docs.google.com/spreadsheets/d/1SX6NBoVAgQJ6U1MVXOaj8PK2l7WJ3RER9xtqwdhxkhw/edit?usp=sharing"",""สิงห์บุรี!J156"")"),0)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IFERROR(__xludf.DUMMYFUNCTION("IMPORTRANGE(""https://docs.google.com/spreadsheets/d/1SX6NBoVAgQJ6U1MVXOaj8PK2l7WJ3RER9xtqwdhxkhw/edit?usp=sharing"",""สิงห์บุรี!J157"")"),1)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IFERROR(__xludf.DUMMYFUNCTION("IMPORTRANGE(""https://docs.google.com/spreadsheets/d/1SX6NBoVAgQJ6U1MVXOaj8PK2l7WJ3RER9xtqwdhxkhw/edit?usp=sharing"",""สิงห์บุรี!I158"")"),0)</f>
        <v>0</v>
      </c>
      <c r="J238" s="268">
        <f ca="1">IFERROR(__xludf.DUMMYFUNCTION("IMPORTRANGE(""https://docs.google.com/spreadsheets/d/1SX6NBoVAgQJ6U1MVXOaj8PK2l7WJ3RER9xtqwdhxkhw/edit?usp=sharing"",""สิงห์บุรี!J158"")"),0)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IFERROR(__xludf.DUMMYFUNCTION("IMPORTRANGE(""https://docs.google.com/spreadsheets/d/1SX6NBoVAgQJ6U1MVXOaj8PK2l7WJ3RER9xtqwdhxkhw/edit?usp=sharing"",""สิงห์บุรี!J159"")"),"")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IFERROR(__xludf.DUMMYFUNCTION("IMPORTRANGE(""https://docs.google.com/spreadsheets/d/1SX6NBoVAgQJ6U1MVXOaj8PK2l7WJ3RER9xtqwdhxkhw/edit?usp=sharing"",""สิงห์บุรี!J161"")"),0)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IFERROR(__xludf.DUMMYFUNCTION("IMPORTRANGE(""https://docs.google.com/spreadsheets/d/1SX6NBoVAgQJ6U1MVXOaj8PK2l7WJ3RER9xtqwdhxkhw/edit?usp=sharing"",""สิงห์บุรี!J162"")"),0)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IFERROR(__xludf.DUMMYFUNCTION("IMPORTRANGE(""https://docs.google.com/spreadsheets/d/1SX6NBoVAgQJ6U1MVXOaj8PK2l7WJ3RER9xtqwdhxkhw/edit?usp=sharing"",""สิงห์บุรี!J163"")"),0)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IFERROR(__xludf.DUMMYFUNCTION("IMPORTRANGE(""https://docs.google.com/spreadsheets/d/1SX6NBoVAgQJ6U1MVXOaj8PK2l7WJ3RER9xtqwdhxkhw/edit?usp=sharing"",""สิงห์บุรี!I164"")"),0)</f>
        <v>0</v>
      </c>
      <c r="J244" s="188">
        <f ca="1">IFERROR(__xludf.DUMMYFUNCTION("IMPORTRANGE(""https://docs.google.com/spreadsheets/d/1SX6NBoVAgQJ6U1MVXOaj8PK2l7WJ3RER9xtqwdhxkhw/edit?usp=sharing"",""สิงห์บุรี!J164"")"),0)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IFERROR(__xludf.DUMMYFUNCTION("IMPORTRANGE(""https://docs.google.com/spreadsheets/d/1SX6NBoVAgQJ6U1MVXOaj8PK2l7WJ3RER9xtqwdhxkhw/edit?usp=sharing"",""สิงห์บุรี!J165"")"),0)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IFERROR(__xludf.DUMMYFUNCTION("IMPORTRANGE(""https://docs.google.com/spreadsheets/d/1SX6NBoVAgQJ6U1MVXOaj8PK2l7WJ3RER9xtqwdhxkhw/edit?usp=sharing"",""สิงห์บุรี!J166"")"),0)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IFERROR(__xludf.DUMMYFUNCTION("IMPORTRANGE(""https://docs.google.com/spreadsheets/d/1SX6NBoVAgQJ6U1MVXOaj8PK2l7WJ3RER9xtqwdhxkhw/edit?usp=sharing"",""สิงห์บุรี!I169"")"),0)</f>
        <v>0</v>
      </c>
      <c r="J249" s="317">
        <f ca="1">IFERROR(__xludf.DUMMYFUNCTION("IMPORTRANGE(""https://docs.google.com/spreadsheets/d/1SX6NBoVAgQJ6U1MVXOaj8PK2l7WJ3RER9xtqwdhxkhw/edit?usp=sharing"",""สิงห์บุรี!J169"")"),0)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IFERROR(__xludf.DUMMYFUNCTION("IMPORTRANGE(""https://docs.google.com/spreadsheets/d/1Yj_ptqi66GCucihVvJfMjLAmec39IyEx_6qawtMGysU/edit?usp=sharing"",""สบก!CB77"")"),0)</f>
        <v>0</v>
      </c>
      <c r="N254" s="169">
        <f ca="1">IFERROR(__xludf.DUMMYFUNCTION("IMPORTRANGE(""https://docs.google.com/spreadsheets/d/1Yj_ptqi66GCucihVvJfMjLAmec39IyEx_6qawtMGysU/edit?usp=sharing"",""สบก!CC77"")"),0)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IFERROR(__xludf.DUMMYFUNCTION("IMPORTRANGE(""https://docs.google.com/spreadsheets/d/1Yj_ptqi66GCucihVvJfMjLAmec39IyEx_6qawtMGysU/edit?usp=sharing"",""สบก!BY77"")"),0)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IFERROR(__xludf.DUMMYFUNCTION("IMPORTRANGE(""https://docs.google.com/spreadsheets/d/1SX6NBoVAgQJ6U1MVXOaj8PK2l7WJ3RER9xtqwdhxkhw/edit?usp=sharing"",""สิงห์บุรี!J175"")"),0)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IFERROR(__xludf.DUMMYFUNCTION("IMPORTRANGE(""https://docs.google.com/spreadsheets/d/1SX6NBoVAgQJ6U1MVXOaj8PK2l7WJ3RER9xtqwdhxkhw/edit?usp=sharing"",""สิงห์บุรี!J176"")"),0)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IFERROR(__xludf.DUMMYFUNCTION("IMPORTRANGE(""https://docs.google.com/spreadsheets/d/1SX6NBoVAgQJ6U1MVXOaj8PK2l7WJ3RER9xtqwdhxkhw/edit?usp=sharing"",""สิงห์บุรี!J177"")"),0)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IFERROR(__xludf.DUMMYFUNCTION("IMPORTRANGE(""https://docs.google.com/spreadsheets/d/1SX6NBoVAgQJ6U1MVXOaj8PK2l7WJ3RER9xtqwdhxkhw/edit?usp=sharing"",""สิงห์บุรี!J178"")"),0)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IFERROR(__xludf.DUMMYFUNCTION("IMPORTRANGE(""https://docs.google.com/spreadsheets/d/1SX6NBoVAgQJ6U1MVXOaj8PK2l7WJ3RER9xtqwdhxkhw/edit?usp=sharing"",""สิงห์บุรี!I179"")"),0)</f>
        <v>0</v>
      </c>
      <c r="J264" s="189">
        <f ca="1">IFERROR(__xludf.DUMMYFUNCTION("IMPORTRANGE(""https://docs.google.com/spreadsheets/d/1SX6NBoVAgQJ6U1MVXOaj8PK2l7WJ3RER9xtqwdhxkhw/edit?usp=sharing"",""สิงห์บุรี!J179"")"),0)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IFERROR(__xludf.DUMMYFUNCTION("IMPORTRANGE(""https://docs.google.com/spreadsheets/d/1SX6NBoVAgQJ6U1MVXOaj8PK2l7WJ3RER9xtqwdhxkhw/edit?usp=sharing"",""สิงห์บุรี!I180"")"),0)</f>
        <v>0</v>
      </c>
      <c r="J265" s="189">
        <f ca="1">IFERROR(__xludf.DUMMYFUNCTION("IMPORTRANGE(""https://docs.google.com/spreadsheets/d/1SX6NBoVAgQJ6U1MVXOaj8PK2l7WJ3RER9xtqwdhxkhw/edit?usp=sharing"",""สิงห์บุรี!J180"")"),0)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IFERROR(__xludf.DUMMYFUNCTION("IMPORTRANGE(""https://docs.google.com/spreadsheets/d/1SX6NBoVAgQJ6U1MVXOaj8PK2l7WJ3RER9xtqwdhxkhw/edit?usp=sharing"",""สิงห์บุรี!I181"")"),0)</f>
        <v>0</v>
      </c>
      <c r="J266" s="189">
        <f ca="1">IFERROR(__xludf.DUMMYFUNCTION("IMPORTRANGE(""https://docs.google.com/spreadsheets/d/1SX6NBoVAgQJ6U1MVXOaj8PK2l7WJ3RER9xtqwdhxkhw/edit?usp=sharing"",""สิงห์บุรี!J181"")"),0)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IFERROR(__xludf.DUMMYFUNCTION("IMPORTRANGE(""https://docs.google.com/spreadsheets/d/1SX6NBoVAgQJ6U1MVXOaj8PK2l7WJ3RER9xtqwdhxkhw/edit?usp=sharing"",""สิงห์บุรี!I182"")"),0)</f>
        <v>0</v>
      </c>
      <c r="J267" s="189">
        <f ca="1">IFERROR(__xludf.DUMMYFUNCTION("IMPORTRANGE(""https://docs.google.com/spreadsheets/d/1SX6NBoVAgQJ6U1MVXOaj8PK2l7WJ3RER9xtqwdhxkhw/edit?usp=sharing"",""สิงห์บุรี!J182"")"),0)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IFERROR(__xludf.DUMMYFUNCTION("IMPORTRANGE(""https://docs.google.com/spreadsheets/d/1SX6NBoVAgQJ6U1MVXOaj8PK2l7WJ3RER9xtqwdhxkhw/edit?usp=sharing"",""สิงห์บุรี!J183"")"),0)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IFERROR(__xludf.DUMMYFUNCTION("IMPORTRANGE(""https://docs.google.com/spreadsheets/d/1SX6NBoVAgQJ6U1MVXOaj8PK2l7WJ3RER9xtqwdhxkhw/edit?usp=sharing"",""สิงห์บุรี!J184"")"),0)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IFERROR(__xludf.DUMMYFUNCTION("IMPORTRANGE(""https://docs.google.com/spreadsheets/d/1SX6NBoVAgQJ6U1MVXOaj8PK2l7WJ3RER9xtqwdhxkhw/edit?usp=sharing"",""สิงห์บุรี!I185"")"),0)</f>
        <v>0</v>
      </c>
      <c r="J270" s="317">
        <f ca="1">IFERROR(__xludf.DUMMYFUNCTION("IMPORTRANGE(""https://docs.google.com/spreadsheets/d/1SX6NBoVAgQJ6U1MVXOaj8PK2l7WJ3RER9xtqwdhxkhw/edit?usp=sharing"",""สิงห์บุรี!J185"")"),0)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IFERROR(__xludf.DUMMYFUNCTION("IMPORTRANGE(""https://docs.google.com/spreadsheets/d/1Yj_ptqi66GCucihVvJfMjLAmec39IyEx_6qawtMGysU/edit?usp=sharing"",""สบก!CK77"")"),0)</f>
        <v>0</v>
      </c>
      <c r="N275" s="169">
        <f ca="1">IFERROR(__xludf.DUMMYFUNCTION("IMPORTRANGE(""https://docs.google.com/spreadsheets/d/1Yj_ptqi66GCucihVvJfMjLAmec39IyEx_6qawtMGysU/edit?usp=sharing"",""สบก!CL77"")"),0)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IFERROR(__xludf.DUMMYFUNCTION("IMPORTRANGE(""https://docs.google.com/spreadsheets/d/1Yj_ptqi66GCucihVvJfMjLAmec39IyEx_6qawtMGysU/edit?usp=sharing"",""สบก!CH77"")"),0)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IFERROR(__xludf.DUMMYFUNCTION("IMPORTRANGE(""https://docs.google.com/spreadsheets/d/1SX6NBoVAgQJ6U1MVXOaj8PK2l7WJ3RER9xtqwdhxkhw/edit?usp=sharing"",""สิงห์บุรี!J191"")"),0)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IFERROR(__xludf.DUMMYFUNCTION("IMPORTRANGE(""https://docs.google.com/spreadsheets/d/1SX6NBoVAgQJ6U1MVXOaj8PK2l7WJ3RER9xtqwdhxkhw/edit?usp=sharing"",""สิงห์บุรี!J192"")"),0)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IFERROR(__xludf.DUMMYFUNCTION("IMPORTRANGE(""https://docs.google.com/spreadsheets/d/1SX6NBoVAgQJ6U1MVXOaj8PK2l7WJ3RER9xtqwdhxkhw/edit?usp=sharing"",""สิงห์บุรี!J193"")"),0)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IFERROR(__xludf.DUMMYFUNCTION("IMPORTRANGE(""https://docs.google.com/spreadsheets/d/1SX6NBoVAgQJ6U1MVXOaj8PK2l7WJ3RER9xtqwdhxkhw/edit?usp=sharing"",""สิงห์บุรี!J194"")"),0)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IFERROR(__xludf.DUMMYFUNCTION("IMPORTRANGE(""https://docs.google.com/spreadsheets/d/1SX6NBoVAgQJ6U1MVXOaj8PK2l7WJ3RER9xtqwdhxkhw/edit?usp=sharing"",""สิงห์บุรี!I195"")"),0)</f>
        <v>0</v>
      </c>
      <c r="J285" s="189">
        <f ca="1">IFERROR(__xludf.DUMMYFUNCTION("IMPORTRANGE(""https://docs.google.com/spreadsheets/d/1SX6NBoVAgQJ6U1MVXOaj8PK2l7WJ3RER9xtqwdhxkhw/edit?usp=sharing"",""สิงห์บุรี!J195"")"),0)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IFERROR(__xludf.DUMMYFUNCTION("IMPORTRANGE(""https://docs.google.com/spreadsheets/d/1SX6NBoVAgQJ6U1MVXOaj8PK2l7WJ3RER9xtqwdhxkhw/edit?usp=sharing"",""สิงห์บุรี!J196"")"),0)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IFERROR(__xludf.DUMMYFUNCTION("IMPORTRANGE(""https://docs.google.com/spreadsheets/d/1SX6NBoVAgQJ6U1MVXOaj8PK2l7WJ3RER9xtqwdhxkhw/edit?usp=sharing"",""สิงห์บุรี!J197"")"),0)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IFERROR(__xludf.DUMMYFUNCTION("IMPORTRANGE(""https://docs.google.com/spreadsheets/d/1SX6NBoVAgQJ6U1MVXOaj8PK2l7WJ3RER9xtqwdhxkhw/edit?usp=sharing"",""สิงห์บุรี!I199"")"),0)</f>
        <v>0</v>
      </c>
      <c r="J289" s="317">
        <f ca="1">IFERROR(__xludf.DUMMYFUNCTION("IMPORTRANGE(""https://docs.google.com/spreadsheets/d/1SX6NBoVAgQJ6U1MVXOaj8PK2l7WJ3RER9xtqwdhxkhw/edit?usp=sharing"",""สิงห์บุรี!J199"")"),0)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IFERROR(__xludf.DUMMYFUNCTION("IMPORTRANGE(""https://docs.google.com/spreadsheets/d/1Yj_ptqi66GCucihVvJfMjLAmec39IyEx_6qawtMGysU/edit?usp=sharing"",""สบก!CT77"")"),0)</f>
        <v>0</v>
      </c>
      <c r="N294" s="169">
        <f ca="1">IFERROR(__xludf.DUMMYFUNCTION("IMPORTRANGE(""https://docs.google.com/spreadsheets/d/1Yj_ptqi66GCucihVvJfMjLAmec39IyEx_6qawtMGysU/edit?usp=sharing"",""สบก!CU77"")"),0)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IFERROR(__xludf.DUMMYFUNCTION("IMPORTRANGE(""https://docs.google.com/spreadsheets/d/1SX6NBoVAgQJ6U1MVXOaj8PK2l7WJ3RER9xtqwdhxkhw/edit?usp=sharing"",""สิงห์บุรี!J205"")"),0)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IFERROR(__xludf.DUMMYFUNCTION("IMPORTRANGE(""https://docs.google.com/spreadsheets/d/1SX6NBoVAgQJ6U1MVXOaj8PK2l7WJ3RER9xtqwdhxkhw/edit?usp=sharing"",""สิงห์บุรี!J206"")"),0)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IFERROR(__xludf.DUMMYFUNCTION("IMPORTRANGE(""https://docs.google.com/spreadsheets/d/1SX6NBoVAgQJ6U1MVXOaj8PK2l7WJ3RER9xtqwdhxkhw/edit?usp=sharing"",""สิงห์บุรี!J207"")"),0)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IFERROR(__xludf.DUMMYFUNCTION("IMPORTRANGE(""https://docs.google.com/spreadsheets/d/1SX6NBoVAgQJ6U1MVXOaj8PK2l7WJ3RER9xtqwdhxkhw/edit?usp=sharing"",""สิงห์บุรี!J208"")"),0)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IFERROR(__xludf.DUMMYFUNCTION("IMPORTRANGE(""https://docs.google.com/spreadsheets/d/1SX6NBoVAgQJ6U1MVXOaj8PK2l7WJ3RER9xtqwdhxkhw/edit?usp=sharing"",""สิงห์บุรี!I209"")"),0)</f>
        <v>0</v>
      </c>
      <c r="J304" s="204">
        <f ca="1">IFERROR(__xludf.DUMMYFUNCTION("IMPORTRANGE(""https://docs.google.com/spreadsheets/d/1SX6NBoVAgQJ6U1MVXOaj8PK2l7WJ3RER9xtqwdhxkhw/edit?usp=sharing"",""สิงห์บุรี!J209"")"),0)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IFERROR(__xludf.DUMMYFUNCTION("IMPORTRANGE(""https://docs.google.com/spreadsheets/d/1SX6NBoVAgQJ6U1MVXOaj8PK2l7WJ3RER9xtqwdhxkhw/edit?usp=sharing"",""สิงห์บุรี!I211"")"),0)</f>
        <v>0</v>
      </c>
      <c r="J306" s="204">
        <f ca="1">IFERROR(__xludf.DUMMYFUNCTION("IMPORTRANGE(""https://docs.google.com/spreadsheets/d/1SX6NBoVAgQJ6U1MVXOaj8PK2l7WJ3RER9xtqwdhxkhw/edit?usp=sharing"",""สิงห์บุรี!J211"")"),0)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IFERROR(__xludf.DUMMYFUNCTION("IMPORTRANGE(""https://docs.google.com/spreadsheets/d/1SX6NBoVAgQJ6U1MVXOaj8PK2l7WJ3RER9xtqwdhxkhw/edit?usp=sharing"",""สิงห์บุรี!J212"")"),0)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IFERROR(__xludf.DUMMYFUNCTION("IMPORTRANGE(""https://docs.google.com/spreadsheets/d/1SX6NBoVAgQJ6U1MVXOaj8PK2l7WJ3RER9xtqwdhxkhw/edit?usp=sharing"",""สิงห์บุรี!J213"")"),0)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IFERROR(__xludf.DUMMYFUNCTION("IMPORTRANGE(""https://docs.google.com/spreadsheets/d/1SX6NBoVAgQJ6U1MVXOaj8PK2l7WJ3RER9xtqwdhxkhw/edit?usp=sharing"",""สิงห์บุรี!I214"")"),0)</f>
        <v>0</v>
      </c>
      <c r="J309" s="334">
        <f ca="1">IFERROR(__xludf.DUMMYFUNCTION("IMPORTRANGE(""https://docs.google.com/spreadsheets/d/1SX6NBoVAgQJ6U1MVXOaj8PK2l7WJ3RER9xtqwdhxkhw/edit?usp=sharing"",""สิงห์บุรี!J214"")"),0)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IFERROR(__xludf.DUMMYFUNCTION("IMPORTRANGE(""https://docs.google.com/spreadsheets/d/1Yj_ptqi66GCucihVvJfMjLAmec39IyEx_6qawtMGysU/edit?usp=sharing"",""สบก!DC77"")"),0)</f>
        <v>0</v>
      </c>
      <c r="N314" s="169">
        <f ca="1">IFERROR(__xludf.DUMMYFUNCTION("IMPORTRANGE(""https://docs.google.com/spreadsheets/d/1Yj_ptqi66GCucihVvJfMjLAmec39IyEx_6qawtMGysU/edit?usp=sharing"",""สบก!DD77"")"),0)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IFERROR(__xludf.DUMMYFUNCTION("IMPORTRANGE(""https://docs.google.com/spreadsheets/d/1SX6NBoVAgQJ6U1MVXOaj8PK2l7WJ3RER9xtqwdhxkhw/edit?usp=sharing"",""สิงห์บุรี!J220"")"),0)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IFERROR(__xludf.DUMMYFUNCTION("IMPORTRANGE(""https://docs.google.com/spreadsheets/d/1SX6NBoVAgQJ6U1MVXOaj8PK2l7WJ3RER9xtqwdhxkhw/edit?usp=sharing"",""สิงห์บุรี!J221"")"),0)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IFERROR(__xludf.DUMMYFUNCTION("IMPORTRANGE(""https://docs.google.com/spreadsheets/d/1SX6NBoVAgQJ6U1MVXOaj8PK2l7WJ3RER9xtqwdhxkhw/edit?usp=sharing"",""สิงห์บุรี!J222"")"),0)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IFERROR(__xludf.DUMMYFUNCTION("IMPORTRANGE(""https://docs.google.com/spreadsheets/d/1SX6NBoVAgQJ6U1MVXOaj8PK2l7WJ3RER9xtqwdhxkhw/edit?usp=sharing"",""สิงห์บุรี!J223"")"),0)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IFERROR(__xludf.DUMMYFUNCTION("IMPORTRANGE(""https://docs.google.com/spreadsheets/d/1SX6NBoVAgQJ6U1MVXOaj8PK2l7WJ3RER9xtqwdhxkhw/edit?usp=sharing"",""สิงห์บุรี!I224"")"),0)</f>
        <v>0</v>
      </c>
      <c r="J324" s="204">
        <f ca="1">IFERROR(__xludf.DUMMYFUNCTION("IMPORTRANGE(""https://docs.google.com/spreadsheets/d/1SX6NBoVAgQJ6U1MVXOaj8PK2l7WJ3RER9xtqwdhxkhw/edit?usp=sharing"",""สิงห์บุรี!J224"")"),0)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IFERROR(__xludf.DUMMYFUNCTION("IMPORTRANGE(""https://docs.google.com/spreadsheets/d/1SX6NBoVAgQJ6U1MVXOaj8PK2l7WJ3RER9xtqwdhxkhw/edit?usp=sharing"",""สิงห์บุรี!J225"")"),0)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IFERROR(__xludf.DUMMYFUNCTION("IMPORTRANGE(""https://docs.google.com/spreadsheets/d/1SX6NBoVAgQJ6U1MVXOaj8PK2l7WJ3RER9xtqwdhxkhw/edit?usp=sharing"",""สิงห์บุรี!J226"")"),0)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IFERROR(__xludf.DUMMYFUNCTION("IMPORTRANGE(""https://docs.google.com/spreadsheets/d/1SX6NBoVAgQJ6U1MVXOaj8PK2l7WJ3RER9xtqwdhxkhw/edit?usp=sharing"",""สิงห์บุรี!I228"")"),0)</f>
        <v>0</v>
      </c>
      <c r="J328" s="340">
        <f ca="1">IFERROR(__xludf.DUMMYFUNCTION("IMPORTRANGE(""https://docs.google.com/spreadsheets/d/1SX6NBoVAgQJ6U1MVXOaj8PK2l7WJ3RER9xtqwdhxkhw/edit?usp=sharing"",""สิงห์บุรี!J228"")"),0)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672770</v>
      </c>
      <c r="M329" s="152">
        <f t="shared" ca="1" si="98"/>
        <v>529290</v>
      </c>
      <c r="N329" s="152">
        <f t="shared" ca="1" si="98"/>
        <v>461689.41</v>
      </c>
      <c r="O329" s="151">
        <f t="shared" ref="O329:O331" ca="1" si="99">IF(L329&gt;0,N329*100/L329,0)</f>
        <v>68.62514826761003</v>
      </c>
      <c r="P329" s="151">
        <f t="shared" ref="P329:P331" ca="1" si="100">IF(M329&gt;0,N329*100/M329,0)</f>
        <v>87.22806212095449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672770</v>
      </c>
      <c r="M331" s="157">
        <f t="shared" ca="1" si="102"/>
        <v>529290</v>
      </c>
      <c r="N331" s="157">
        <f t="shared" ca="1" si="102"/>
        <v>461689.41</v>
      </c>
      <c r="O331" s="156">
        <f t="shared" ca="1" si="99"/>
        <v>68.62514826761003</v>
      </c>
      <c r="P331" s="156">
        <f t="shared" ca="1" si="100"/>
        <v>87.22806212095449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537770</v>
      </c>
      <c r="M333" s="168">
        <f ca="1">IFERROR(__xludf.DUMMYFUNCTION("IMPORTRANGE(""https://docs.google.com/spreadsheets/d/1Yj_ptqi66GCucihVvJfMjLAmec39IyEx_6qawtMGysU/edit?usp=sharing"",""สบก!DL77"")"),394290)</f>
        <v>394290</v>
      </c>
      <c r="N333" s="169">
        <f ca="1">IFERROR(__xludf.DUMMYFUNCTION("IMPORTRANGE(""https://docs.google.com/spreadsheets/d/1Yj_ptqi66GCucihVvJfMjLAmec39IyEx_6qawtMGysU/edit?usp=sharing"",""สบก!DM77"")"),326689.41)</f>
        <v>326689.40999999997</v>
      </c>
      <c r="O333" s="169">
        <f ca="1">IF(L333&gt;0,N333*100/L333,0)</f>
        <v>60.748909385053082</v>
      </c>
      <c r="P333" s="169">
        <f ca="1">IF(M333&gt;0,N333*100/M333,0)</f>
        <v>82.855109183595815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IFERROR(__xludf.DUMMYFUNCTION("IMPORTRANGE(""https://docs.google.com/spreadsheets/d/1Yj_ptqi66GCucihVvJfMjLAmec39IyEx_6qawtMGysU/edit?usp=sharing"",""สบก!DH77"")"),493800)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IFERROR(__xludf.DUMMYFUNCTION("IMPORTRANGE(""https://docs.google.com/spreadsheets/d/1Yj_ptqi66GCucihVvJfMjLAmec39IyEx_6qawtMGysU/edit?usp=sharing"",""สบก!DI77"")"),43970)</f>
        <v>43970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IFERROR(__xludf.DUMMYFUNCTION("IMPORTRANGE(""https://docs.google.com/spreadsheets/d/1Yj_ptqi66GCucihVvJfMjLAmec39IyEx_6qawtMGysU/edit?usp=sharing"",""สบก!DJ77"")"),135000)</f>
        <v>135000</v>
      </c>
      <c r="M337" s="49">
        <f ca="1">L337</f>
        <v>135000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IFERROR(__xludf.DUMMYFUNCTION("IMPORTRANGE(""https://docs.google.com/spreadsheets/d/1SX6NBoVAgQJ6U1MVXOaj8PK2l7WJ3RER9xtqwdhxkhw/edit?usp=sharing"",""สิงห์บุรี!I234"")"),0)</f>
        <v>0</v>
      </c>
      <c r="J339" s="188">
        <f ca="1">IFERROR(__xludf.DUMMYFUNCTION("IMPORTRANGE(""https://docs.google.com/spreadsheets/d/1SX6NBoVAgQJ6U1MVXOaj8PK2l7WJ3RER9xtqwdhxkhw/edit?usp=sharing"",""สิงห์บุรี!J234"")"),0)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IFERROR(__xludf.DUMMYFUNCTION("IMPORTRANGE(""https://docs.google.com/spreadsheets/d/1SX6NBoVAgQJ6U1MVXOaj8PK2l7WJ3RER9xtqwdhxkhw/edit?usp=sharing"",""สิงห์บุรี!I235"")"),0)</f>
        <v>0</v>
      </c>
      <c r="J340" s="188">
        <f ca="1">IFERROR(__xludf.DUMMYFUNCTION("IMPORTRANGE(""https://docs.google.com/spreadsheets/d/1SX6NBoVAgQJ6U1MVXOaj8PK2l7WJ3RER9xtqwdhxkhw/edit?usp=sharing"",""สิงห์บุรี!J235"")"),0)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IFERROR(__xludf.DUMMYFUNCTION("IMPORTRANGE(""https://docs.google.com/spreadsheets/d/1SX6NBoVAgQJ6U1MVXOaj8PK2l7WJ3RER9xtqwdhxkhw/edit?usp=sharing"",""สิงห์บุรี!I236"")"),0)</f>
        <v>0</v>
      </c>
      <c r="J341" s="188">
        <f ca="1">IFERROR(__xludf.DUMMYFUNCTION("IMPORTRANGE(""https://docs.google.com/spreadsheets/d/1SX6NBoVAgQJ6U1MVXOaj8PK2l7WJ3RER9xtqwdhxkhw/edit?usp=sharing"",""สิงห์บุรี!J236"")"),0)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8">
        <f ca="1">IFERROR(__xludf.DUMMYFUNCTION("IMPORTRANGE(""https://docs.google.com/spreadsheets/d/1SX6NBoVAgQJ6U1MVXOaj8PK2l7WJ3RER9xtqwdhxkhw/edit?usp=sharing"",""สิงห์บุรี!J237"")"),0)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IFERROR(__xludf.DUMMYFUNCTION("IMPORTRANGE(""https://docs.google.com/spreadsheets/d/1SX6NBoVAgQJ6U1MVXOaj8PK2l7WJ3RER9xtqwdhxkhw/edit?usp=sharing"",""สิงห์บุรี!I238"")"),0)</f>
        <v>0</v>
      </c>
      <c r="J343" s="188">
        <f ca="1">IFERROR(__xludf.DUMMYFUNCTION("IMPORTRANGE(""https://docs.google.com/spreadsheets/d/1SX6NBoVAgQJ6U1MVXOaj8PK2l7WJ3RER9xtqwdhxkhw/edit?usp=sharing"",""สิงห์บุรี!J238"")"),0)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8">
        <f ca="1">IFERROR(__xludf.DUMMYFUNCTION("IMPORTRANGE(""https://docs.google.com/spreadsheets/d/1SX6NBoVAgQJ6U1MVXOaj8PK2l7WJ3RER9xtqwdhxkhw/edit?usp=sharing"",""สิงห์บุรี!J239"")"),0)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IFERROR(__xludf.DUMMYFUNCTION("IMPORTRANGE(""https://docs.google.com/spreadsheets/d/1SX6NBoVAgQJ6U1MVXOaj8PK2l7WJ3RER9xtqwdhxkhw/edit?usp=sharing"",""สิงห์บุรี!I240"")"),0)</f>
        <v>0</v>
      </c>
      <c r="J345" s="188">
        <f ca="1">IFERROR(__xludf.DUMMYFUNCTION("IMPORTRANGE(""https://docs.google.com/spreadsheets/d/1SX6NBoVAgQJ6U1MVXOaj8PK2l7WJ3RER9xtqwdhxkhw/edit?usp=sharing"",""สิงห์บุรี!J240"")"),0)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8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IFERROR(__xludf.DUMMYFUNCTION("IMPORTRANGE(""https://docs.google.com/spreadsheets/d/1SX6NBoVAgQJ6U1MVXOaj8PK2l7WJ3RER9xtqwdhxkhw/edit?usp=sharing"",""สิงห์บุรี!L242"")"),324230)</f>
        <v>324230</v>
      </c>
      <c r="M347" s="358"/>
      <c r="N347" s="358">
        <f ca="1">IFERROR(__xludf.DUMMYFUNCTION("IMPORTRANGE(""https://docs.google.com/spreadsheets/d/1SX6NBoVAgQJ6U1MVXOaj8PK2l7WJ3RER9xtqwdhxkhw/edit?usp=sharing"",""สิงห์บุรี!M242"")"),175369.66)</f>
        <v>175369.66</v>
      </c>
      <c r="O347" s="358">
        <f ca="1">+IF(L347&gt;0,N347*100/L347,0)</f>
        <v>54.088042439009342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IFERROR(__xludf.DUMMYFUNCTION("IMPORTRANGE(""https://docs.google.com/spreadsheets/d/1SX6NBoVAgQJ6U1MVXOaj8PK2l7WJ3RER9xtqwdhxkhw/edit?usp=sharing"",""สิงห์บุรี!L246"")"),0)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IFERROR(__xludf.DUMMYFUNCTION("IMPORTRANGE(""https://docs.google.com/spreadsheets/d/1SX6NBoVAgQJ6U1MVXOaj8PK2l7WJ3RER9xtqwdhxkhw/edit?usp=sharing"",""สิงห์บุรี!M246"")"),0)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IFERROR(__xludf.DUMMYFUNCTION("IMPORTRANGE(""https://docs.google.com/spreadsheets/d/1SX6NBoVAgQJ6U1MVXOaj8PK2l7WJ3RER9xtqwdhxkhw/edit?usp=sharing"",""สิงห์บุรี!L247"")"),0)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IFERROR(__xludf.DUMMYFUNCTION("IMPORTRANGE(""https://docs.google.com/spreadsheets/d/1SX6NBoVAgQJ6U1MVXOaj8PK2l7WJ3RER9xtqwdhxkhw/edit?usp=sharing"",""สิงห์บุรี!M247"")"),0)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IFERROR(__xludf.DUMMYFUNCTION("IMPORTRANGE(""https://docs.google.com/spreadsheets/d/1SX6NBoVAgQJ6U1MVXOaj8PK2l7WJ3RER9xtqwdhxkhw/edit?usp=sharing"",""สิงห์บุรี!L248"")"),0)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IFERROR(__xludf.DUMMYFUNCTION("IMPORTRANGE(""https://docs.google.com/spreadsheets/d/1SX6NBoVAgQJ6U1MVXOaj8PK2l7WJ3RER9xtqwdhxkhw/edit?usp=sharing"",""สิงห์บุรี!M248"")"),0)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IFERROR(__xludf.DUMMYFUNCTION("IMPORTRANGE(""https://docs.google.com/spreadsheets/d/1SX6NBoVAgQJ6U1MVXOaj8PK2l7WJ3RER9xtqwdhxkhw/edit?usp=sharing"",""สิงห์บุรี!L249"")"),0)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IFERROR(__xludf.DUMMYFUNCTION("IMPORTRANGE(""https://docs.google.com/spreadsheets/d/1SX6NBoVAgQJ6U1MVXOaj8PK2l7WJ3RER9xtqwdhxkhw/edit?usp=sharing"",""สิงห์บุรี!M249"")"),0)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IFERROR(__xludf.DUMMYFUNCTION("IMPORTRANGE(""https://docs.google.com/spreadsheets/d/1SX6NBoVAgQJ6U1MVXOaj8PK2l7WJ3RER9xtqwdhxkhw/edit?usp=sharing"",""สิงห์บุรี!J255"")"),0)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IFERROR(__xludf.DUMMYFUNCTION("IMPORTRANGE(""https://docs.google.com/spreadsheets/d/1SX6NBoVAgQJ6U1MVXOaj8PK2l7WJ3RER9xtqwdhxkhw/edit?usp=sharing"",""สิงห์บุรี!J256"")"),0)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IFERROR(__xludf.DUMMYFUNCTION("IMPORTRANGE(""https://docs.google.com/spreadsheets/d/1SX6NBoVAgQJ6U1MVXOaj8PK2l7WJ3RER9xtqwdhxkhw/edit?usp=sharing"",""สิงห์บุรี!J257"")"),0)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IFERROR(__xludf.DUMMYFUNCTION("IMPORTRANGE(""https://docs.google.com/spreadsheets/d/1SX6NBoVAgQJ6U1MVXOaj8PK2l7WJ3RER9xtqwdhxkhw/edit?usp=sharing"",""สิงห์บุรี!J258"")"),0)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IFERROR(__xludf.DUMMYFUNCTION("IMPORTRANGE(""https://docs.google.com/spreadsheets/d/1SX6NBoVAgQJ6U1MVXOaj8PK2l7WJ3RER9xtqwdhxkhw/edit?usp=sharing"",""สิงห์บุรี!J166"")"),0)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IFERROR(__xludf.DUMMYFUNCTION("IMPORTRANGE(""https://docs.google.com/spreadsheets/d/1SX6NBoVAgQJ6U1MVXOaj8PK2l7WJ3RER9xtqwdhxkhw/edit?usp=sharing"",""สิงห์บุรี!J166"")"),0)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IFERROR(__xludf.DUMMYFUNCTION("IMPORTRANGE(""https://docs.google.com/spreadsheets/d/1SX6NBoVAgQJ6U1MVXOaj8PK2l7WJ3RER9xtqwdhxkhw/edit?usp=sharing"",""สิงห์บุรี!J166"")"),0)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IFERROR(__xludf.DUMMYFUNCTION("IMPORTRANGE(""https://docs.google.com/spreadsheets/d/1SX6NBoVAgQJ6U1MVXOaj8PK2l7WJ3RER9xtqwdhxkhw/edit?usp=sharing"",""สิงห์บุรี!J166"")"),0)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IFERROR(__xludf.DUMMYFUNCTION("IMPORTRANGE(""https://docs.google.com/spreadsheets/d/1SX6NBoVAgQJ6U1MVXOaj8PK2l7WJ3RER9xtqwdhxkhw/edit?usp=sharing"",""สิงห์บุรี!I263"")"),0)</f>
        <v>0</v>
      </c>
      <c r="J368" s="188">
        <f ca="1">IFERROR(__xludf.DUMMYFUNCTION("IMPORTRANGE(""https://docs.google.com/spreadsheets/d/1SX6NBoVAgQJ6U1MVXOaj8PK2l7WJ3RER9xtqwdhxkhw/edit?usp=sharing"",""สิงห์บุรี!J263"")"),0)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IFERROR(__xludf.DUMMYFUNCTION("IMPORTRANGE(""https://docs.google.com/spreadsheets/d/1SX6NBoVAgQJ6U1MVXOaj8PK2l7WJ3RER9xtqwdhxkhw/edit?usp=sharing"",""สิงห์บุรี!I164"")"),0)</f>
        <v>0</v>
      </c>
      <c r="J369" s="204">
        <f ca="1">IFERROR(__xludf.DUMMYFUNCTION("IMPORTRANGE(""https://docs.google.com/spreadsheets/d/1SX6NBoVAgQJ6U1MVXOaj8PK2l7WJ3RER9xtqwdhxkhw/edit?usp=sharing"",""สิงห์บุรี!J164"")"),0)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IFERROR(__xludf.DUMMYFUNCTION("IMPORTRANGE(""https://docs.google.com/spreadsheets/d/1SX6NBoVAgQJ6U1MVXOaj8PK2l7WJ3RER9xtqwdhxkhw/edit?usp=sharing"",""สิงห์บุรี!I265"")"),0)</f>
        <v>0</v>
      </c>
      <c r="J370" s="204">
        <f ca="1">IFERROR(__xludf.DUMMYFUNCTION("IMPORTRANGE(""https://docs.google.com/spreadsheets/d/1SX6NBoVAgQJ6U1MVXOaj8PK2l7WJ3RER9xtqwdhxkhw/edit?usp=sharing"",""สิงห์บุรี!J265"")"),0)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IFERROR(__xludf.DUMMYFUNCTION("IMPORTRANGE(""https://docs.google.com/spreadsheets/d/1SX6NBoVAgQJ6U1MVXOaj8PK2l7WJ3RER9xtqwdhxkhw/edit?usp=sharing"",""สิงห์บุรี!I164"")"),0)</f>
        <v>0</v>
      </c>
      <c r="J371" s="189">
        <f ca="1">IFERROR(__xludf.DUMMYFUNCTION("IMPORTRANGE(""https://docs.google.com/spreadsheets/d/1SX6NBoVAgQJ6U1MVXOaj8PK2l7WJ3RER9xtqwdhxkhw/edit?usp=sharing"",""สิงห์บุรี!J164"")"),0)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IFERROR(__xludf.DUMMYFUNCTION("IMPORTRANGE(""https://docs.google.com/spreadsheets/d/1SX6NBoVAgQJ6U1MVXOaj8PK2l7WJ3RER9xtqwdhxkhw/edit?usp=sharing"",""สิงห์บุรี!I267"")"),0)</f>
        <v>0</v>
      </c>
      <c r="J372" s="189">
        <f ca="1">IFERROR(__xludf.DUMMYFUNCTION("IMPORTRANGE(""https://docs.google.com/spreadsheets/d/1SX6NBoVAgQJ6U1MVXOaj8PK2l7WJ3RER9xtqwdhxkhw/edit?usp=sharing"",""สิงห์บุรี!J267"")"),0)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IFERROR(__xludf.DUMMYFUNCTION("IMPORTRANGE(""https://docs.google.com/spreadsheets/d/1SX6NBoVAgQJ6U1MVXOaj8PK2l7WJ3RER9xtqwdhxkhw/edit?usp=sharing"",""สิงห์บุรี!I164"")"),0)</f>
        <v>0</v>
      </c>
      <c r="J373" s="204">
        <f ca="1">IFERROR(__xludf.DUMMYFUNCTION("IMPORTRANGE(""https://docs.google.com/spreadsheets/d/1SX6NBoVAgQJ6U1MVXOaj8PK2l7WJ3RER9xtqwdhxkhw/edit?usp=sharing"",""สิงห์บุรี!J164"")"),0)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IFERROR(__xludf.DUMMYFUNCTION("IMPORTRANGE(""https://docs.google.com/spreadsheets/d/1SX6NBoVAgQJ6U1MVXOaj8PK2l7WJ3RER9xtqwdhxkhw/edit?usp=sharing"",""สิงห์บุรี!I164"")"),0)</f>
        <v>0</v>
      </c>
      <c r="J374" s="188">
        <f ca="1">IFERROR(__xludf.DUMMYFUNCTION("IMPORTRANGE(""https://docs.google.com/spreadsheets/d/1SX6NBoVAgQJ6U1MVXOaj8PK2l7WJ3RER9xtqwdhxkhw/edit?usp=sharing"",""สิงห์บุรี!J164"")"),0)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IFERROR(__xludf.DUMMYFUNCTION("IMPORTRANGE(""https://docs.google.com/spreadsheets/d/1SX6NBoVAgQJ6U1MVXOaj8PK2l7WJ3RER9xtqwdhxkhw/edit?usp=sharing"",""สิงห์บุรี!I270"")"),0)</f>
        <v>0</v>
      </c>
      <c r="J375" s="188">
        <f ca="1">IFERROR(__xludf.DUMMYFUNCTION("IMPORTRANGE(""https://docs.google.com/spreadsheets/d/1SX6NBoVAgQJ6U1MVXOaj8PK2l7WJ3RER9xtqwdhxkhw/edit?usp=sharing"",""สิงห์บุรี!J270"")"),0)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IFERROR(__xludf.DUMMYFUNCTION("IMPORTRANGE(""https://docs.google.com/spreadsheets/d/1SX6NBoVAgQJ6U1MVXOaj8PK2l7WJ3RER9xtqwdhxkhw/edit?usp=sharing"",""สิงห์บุรี!I271"")"),0)</f>
        <v>0</v>
      </c>
      <c r="J376" s="189">
        <f ca="1">IFERROR(__xludf.DUMMYFUNCTION("IMPORTRANGE(""https://docs.google.com/spreadsheets/d/1SX6NBoVAgQJ6U1MVXOaj8PK2l7WJ3RER9xtqwdhxkhw/edit?usp=sharing"",""สิงห์บุรี!J271"")"),0)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IFERROR(__xludf.DUMMYFUNCTION("IMPORTRANGE(""https://docs.google.com/spreadsheets/d/1SX6NBoVAgQJ6U1MVXOaj8PK2l7WJ3RER9xtqwdhxkhw/edit?usp=sharing"",""สิงห์บุรี!I272"")"),0)</f>
        <v>0</v>
      </c>
      <c r="J377" s="204">
        <f ca="1">IFERROR(__xludf.DUMMYFUNCTION("IMPORTRANGE(""https://docs.google.com/spreadsheets/d/1SX6NBoVAgQJ6U1MVXOaj8PK2l7WJ3RER9xtqwdhxkhw/edit?usp=sharing"",""สิงห์บุรี!J272"")"),0)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IFERROR(__xludf.DUMMYFUNCTION("IMPORTRANGE(""https://docs.google.com/spreadsheets/d/1SX6NBoVAgQJ6U1MVXOaj8PK2l7WJ3RER9xtqwdhxkhw/edit?usp=sharing"",""สิงห์บุรี!J273"")"),0)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IFERROR(__xludf.DUMMYFUNCTION("IMPORTRANGE(""https://docs.google.com/spreadsheets/d/1SX6NBoVAgQJ6U1MVXOaj8PK2l7WJ3RER9xtqwdhxkhw/edit?usp=sharing"",""สิงห์บุรี!J274"")"),0)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IFERROR(__xludf.DUMMYFUNCTION("IMPORTRANGE(""https://docs.google.com/spreadsheets/d/1SX6NBoVAgQJ6U1MVXOaj8PK2l7WJ3RER9xtqwdhxkhw/edit?usp=sharing"",""สิงห์บุรี!L277"")"),0)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IFERROR(__xludf.DUMMYFUNCTION("IMPORTRANGE(""https://docs.google.com/spreadsheets/d/1SX6NBoVAgQJ6U1MVXOaj8PK2l7WJ3RER9xtqwdhxkhw/edit?usp=sharing"",""สิงห์บุรี!M277"")"),0)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IFERROR(__xludf.DUMMYFUNCTION("IMPORTRANGE(""https://docs.google.com/spreadsheets/d/1SX6NBoVAgQJ6U1MVXOaj8PK2l7WJ3RER9xtqwdhxkhw/edit?usp=sharing"",""สิงห์บุรี!L278"")"),0)</f>
        <v>0</v>
      </c>
      <c r="M383" s="165"/>
      <c r="N383" s="165">
        <f ca="1">IFERROR(__xludf.DUMMYFUNCTION("IMPORTRANGE(""https://docs.google.com/spreadsheets/d/1SX6NBoVAgQJ6U1MVXOaj8PK2l7WJ3RER9xtqwdhxkhw/edit?usp=sharing"",""สิงห์บุรี!M278"")"),0)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IFERROR(__xludf.DUMMYFUNCTION("IMPORTRANGE(""https://docs.google.com/spreadsheets/d/1SX6NBoVAgQJ6U1MVXOaj8PK2l7WJ3RER9xtqwdhxkhw/edit?usp=sharing"",""สิงห์บุรี!L279"")"),0)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IFERROR(__xludf.DUMMYFUNCTION("IMPORTRANGE(""https://docs.google.com/spreadsheets/d/1SX6NBoVAgQJ6U1MVXOaj8PK2l7WJ3RER9xtqwdhxkhw/edit?usp=sharing"",""สิงห์บุรี!M279"")"),0)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IFERROR(__xludf.DUMMYFUNCTION("IMPORTRANGE(""https://docs.google.com/spreadsheets/d/1SX6NBoVAgQJ6U1MVXOaj8PK2l7WJ3RER9xtqwdhxkhw/edit?usp=sharing"",""สิงห์บุรี!L280"")"),0)</f>
        <v>0</v>
      </c>
      <c r="M385" s="169"/>
      <c r="N385" s="168">
        <f ca="1">IFERROR(__xludf.DUMMYFUNCTION("IMPORTRANGE(""https://docs.google.com/spreadsheets/d/1SX6NBoVAgQJ6U1MVXOaj8PK2l7WJ3RER9xtqwdhxkhw/edit?usp=sharing"",""สิงห์บุรี!M280"")"),0)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IFERROR(__xludf.DUMMYFUNCTION("IMPORTRANGE(""https://docs.google.com/spreadsheets/d/1SX6NBoVAgQJ6U1MVXOaj8PK2l7WJ3RER9xtqwdhxkhw/edit?usp=sharing"",""สิงห์บุรี!J286"")"),0)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IFERROR(__xludf.DUMMYFUNCTION("IMPORTRANGE(""https://docs.google.com/spreadsheets/d/1SX6NBoVAgQJ6U1MVXOaj8PK2l7WJ3RER9xtqwdhxkhw/edit?usp=sharing"",""สิงห์บุรี!J287"")"),0)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IFERROR(__xludf.DUMMYFUNCTION("IMPORTRANGE(""https://docs.google.com/spreadsheets/d/1SX6NBoVAgQJ6U1MVXOaj8PK2l7WJ3RER9xtqwdhxkhw/edit?usp=sharing"",""สิงห์บุรี!J288"")"),0)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IFERROR(__xludf.DUMMYFUNCTION("IMPORTRANGE(""https://docs.google.com/spreadsheets/d/1SX6NBoVAgQJ6U1MVXOaj8PK2l7WJ3RER9xtqwdhxkhw/edit?usp=sharing"",""สิงห์บุรี!J289"")"),0)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IFERROR(__xludf.DUMMYFUNCTION("IMPORTRANGE(""https://docs.google.com/spreadsheets/d/1SX6NBoVAgQJ6U1MVXOaj8PK2l7WJ3RER9xtqwdhxkhw/edit?usp=sharing"",""สิงห์บุรี!I291"")"),0)</f>
        <v>0</v>
      </c>
      <c r="J396" s="198">
        <f ca="1">IFERROR(__xludf.DUMMYFUNCTION("IMPORTRANGE(""https://docs.google.com/spreadsheets/d/1SX6NBoVAgQJ6U1MVXOaj8PK2l7WJ3RER9xtqwdhxkhw/edit?usp=sharing"",""สิงห์บุรี!J291"")"),0)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IFERROR(__xludf.DUMMYFUNCTION("IMPORTRANGE(""https://docs.google.com/spreadsheets/d/1SX6NBoVAgQJ6U1MVXOaj8PK2l7WJ3RER9xtqwdhxkhw/edit?usp=sharing"",""สิงห์บุรี!I292"")"),0)</f>
        <v>0</v>
      </c>
      <c r="J397" s="198">
        <f ca="1">IFERROR(__xludf.DUMMYFUNCTION("IMPORTRANGE(""https://docs.google.com/spreadsheets/d/1SX6NBoVAgQJ6U1MVXOaj8PK2l7WJ3RER9xtqwdhxkhw/edit?usp=sharing"",""สิงห์บุรี!J292"")"),0)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IFERROR(__xludf.DUMMYFUNCTION("IMPORTRANGE(""https://docs.google.com/spreadsheets/d/1SX6NBoVAgQJ6U1MVXOaj8PK2l7WJ3RER9xtqwdhxkhw/edit?usp=sharing"",""สิงห์บุรี!I293"")"),0)</f>
        <v>0</v>
      </c>
      <c r="J398" s="198">
        <f ca="1">IFERROR(__xludf.DUMMYFUNCTION("IMPORTRANGE(""https://docs.google.com/spreadsheets/d/1SX6NBoVAgQJ6U1MVXOaj8PK2l7WJ3RER9xtqwdhxkhw/edit?usp=sharing"",""สิงห์บุรี!J293"")"),0)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IFERROR(__xludf.DUMMYFUNCTION("IMPORTRANGE(""https://docs.google.com/spreadsheets/d/1SX6NBoVAgQJ6U1MVXOaj8PK2l7WJ3RER9xtqwdhxkhw/edit?usp=sharing"",""สิงห์บุรี!J294"")"),0)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IFERROR(__xludf.DUMMYFUNCTION("IMPORTRANGE(""https://docs.google.com/spreadsheets/d/1SX6NBoVAgQJ6U1MVXOaj8PK2l7WJ3RER9xtqwdhxkhw/edit?usp=sharing"",""สิงห์บุรี!J295"")"),0)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IFERROR(__xludf.DUMMYFUNCTION("IMPORTRANGE(""https://docs.google.com/spreadsheets/d/1SX6NBoVAgQJ6U1MVXOaj8PK2l7WJ3RER9xtqwdhxkhw/edit?usp=sharing"",""สิงห์บุรี!J296"")"),87)</f>
        <v>87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IFERROR(__xludf.DUMMYFUNCTION("IMPORTRANGE(""https://docs.google.com/spreadsheets/d/1SX6NBoVAgQJ6U1MVXOaj8PK2l7WJ3RER9xtqwdhxkhw/edit?usp=sharing"",""สิงห์บุรี!M296"")"),80619)</f>
        <v>80619</v>
      </c>
      <c r="O401" s="373">
        <f ca="1">+IF(L401&gt;0,N401*100/L401,0)</f>
        <v>81.474482061647294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IFERROR(__xludf.DUMMYFUNCTION("IMPORTRANGE(""https://docs.google.com/spreadsheets/d/1SX6NBoVAgQJ6U1MVXOaj8PK2l7WJ3RER9xtqwdhxkhw/edit?usp=sharing"",""สิงห์บุรี!J297"")"),29)</f>
        <v>29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IFERROR(__xludf.DUMMYFUNCTION("IMPORTRANGE(""https://docs.google.com/spreadsheets/d/1SX6NBoVAgQJ6U1MVXOaj8PK2l7WJ3RER9xtqwdhxkhw/edit?usp=sharing"",""สิงห์บุรี!L298"")"),0)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IFERROR(__xludf.DUMMYFUNCTION("IMPORTRANGE(""https://docs.google.com/spreadsheets/d/1SX6NBoVAgQJ6U1MVXOaj8PK2l7WJ3RER9xtqwdhxkhw/edit?usp=sharing"",""สิงห์บุรี!M298"")"),0)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IFERROR(__xludf.DUMMYFUNCTION("IMPORTRANGE(""https://docs.google.com/spreadsheets/d/1SX6NBoVAgQJ6U1MVXOaj8PK2l7WJ3RER9xtqwdhxkhw/edit?usp=sharing"",""สิงห์บุรี!L299"")"),98950)</f>
        <v>98950</v>
      </c>
      <c r="M404" s="165"/>
      <c r="N404" s="169">
        <f ca="1">IFERROR(__xludf.DUMMYFUNCTION("IMPORTRANGE(""https://docs.google.com/spreadsheets/d/1SX6NBoVAgQJ6U1MVXOaj8PK2l7WJ3RER9xtqwdhxkhw/edit?usp=sharing"",""สิงห์บุรี!M299"")"),80619)</f>
        <v>80619</v>
      </c>
      <c r="O404" s="169">
        <f t="shared" ca="1" si="112"/>
        <v>81.474482061647294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IFERROR(__xludf.DUMMYFUNCTION("IMPORTRANGE(""https://docs.google.com/spreadsheets/d/1SX6NBoVAgQJ6U1MVXOaj8PK2l7WJ3RER9xtqwdhxkhw/edit?usp=sharing"",""สิงห์บุรี!L300"")"),0)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IFERROR(__xludf.DUMMYFUNCTION("IMPORTRANGE(""https://docs.google.com/spreadsheets/d/1SX6NBoVAgQJ6U1MVXOaj8PK2l7WJ3RER9xtqwdhxkhw/edit?usp=sharing"",""สิงห์บุรี!M300"")"),0)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IFERROR(__xludf.DUMMYFUNCTION("IMPORTRANGE(""https://docs.google.com/spreadsheets/d/1SX6NBoVAgQJ6U1MVXOaj8PK2l7WJ3RER9xtqwdhxkhw/edit?usp=sharing"",""สิงห์บุรี!L301"")"),98950)</f>
        <v>98950</v>
      </c>
      <c r="M406" s="169"/>
      <c r="N406" s="169">
        <f ca="1">IFERROR(__xludf.DUMMYFUNCTION("IMPORTRANGE(""https://docs.google.com/spreadsheets/d/1SX6NBoVAgQJ6U1MVXOaj8PK2l7WJ3RER9xtqwdhxkhw/edit?usp=sharing"",""สิงห์บุรี!M301"")"),80619)</f>
        <v>80619</v>
      </c>
      <c r="O406" s="169">
        <f t="shared" ca="1" si="112"/>
        <v>81.474482061647294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IFERROR(__xludf.DUMMYFUNCTION("IMPORTRANGE(""https://docs.google.com/spreadsheets/d/1SX6NBoVAgQJ6U1MVXOaj8PK2l7WJ3RER9xtqwdhxkhw/edit?usp=sharing"",""สิงห์บุรี!M302"")"),66424)</f>
        <v>66424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IFERROR(__xludf.DUMMYFUNCTION("IMPORTRANGE(""https://docs.google.com/spreadsheets/d/1SX6NBoVAgQJ6U1MVXOaj8PK2l7WJ3RER9xtqwdhxkhw/edit?usp=sharing"",""สิงห์บุรี!M303"")"),13395)</f>
        <v>13395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IFERROR(__xludf.DUMMYFUNCTION("IMPORTRANGE(""https://docs.google.com/spreadsheets/d/1SX6NBoVAgQJ6U1MVXOaj8PK2l7WJ3RER9xtqwdhxkhw/edit?usp=sharing"",""สิงห์บุรี!M305"")"),800)</f>
        <v>800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IFERROR(__xludf.DUMMYFUNCTION("IMPORTRANGE(""https://docs.google.com/spreadsheets/d/1SX6NBoVAgQJ6U1MVXOaj8PK2l7WJ3RER9xtqwdhxkhw/edit?usp=sharing"",""สิงห์บุรี!J307"")"),0)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IFERROR(__xludf.DUMMYFUNCTION("IMPORTRANGE(""https://docs.google.com/spreadsheets/d/1SX6NBoVAgQJ6U1MVXOaj8PK2l7WJ3RER9xtqwdhxkhw/edit?usp=sharing"",""สิงห์บุรี!J308"")"),1)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IFERROR(__xludf.DUMMYFUNCTION("IMPORTRANGE(""https://docs.google.com/spreadsheets/d/1SX6NBoVAgQJ6U1MVXOaj8PK2l7WJ3RER9xtqwdhxkhw/edit?usp=sharing"",""สิงห์บุรี!J309"")"),1)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IFERROR(__xludf.DUMMYFUNCTION("IMPORTRANGE(""https://docs.google.com/spreadsheets/d/1SX6NBoVAgQJ6U1MVXOaj8PK2l7WJ3RER9xtqwdhxkhw/edit?usp=sharing"",""สิงห์บุรี!J310"")"),1)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IFERROR(__xludf.DUMMYFUNCTION("IMPORTRANGE(""https://docs.google.com/spreadsheets/d/1SX6NBoVAgQJ6U1MVXOaj8PK2l7WJ3RER9xtqwdhxkhw/edit?usp=sharing"",""สิงห์บุรี!I311"")"),29)</f>
        <v>29</v>
      </c>
      <c r="J416" s="201">
        <f ca="1">IFERROR(__xludf.DUMMYFUNCTION("IMPORTRANGE(""https://docs.google.com/spreadsheets/d/1SX6NBoVAgQJ6U1MVXOaj8PK2l7WJ3RER9xtqwdhxkhw/edit?usp=sharing"",""สิงห์บุรี!J311"")"),29)</f>
        <v>29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IFERROR(__xludf.DUMMYFUNCTION("IMPORTRANGE(""https://docs.google.com/spreadsheets/d/1SX6NBoVAgQJ6U1MVXOaj8PK2l7WJ3RER9xtqwdhxkhw/edit?usp=sharing"",""สิงห์บุรี!J316"")"),19)</f>
        <v>19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IFERROR(__xludf.DUMMYFUNCTION("IMPORTRANGE(""https://docs.google.com/spreadsheets/d/1SX6NBoVAgQJ6U1MVXOaj8PK2l7WJ3RER9xtqwdhxkhw/edit?usp=sharing"",""สิงห์บุรี!J317"")"),57)</f>
        <v>57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IFERROR(__xludf.DUMMYFUNCTION("IMPORTRANGE(""https://docs.google.com/spreadsheets/d/1SX6NBoVAgQJ6U1MVXOaj8PK2l7WJ3RER9xtqwdhxkhw/edit?usp=sharing"",""สิงห์บุรี!J320"")"),19)</f>
        <v>19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IFERROR(__xludf.DUMMYFUNCTION("IMPORTRANGE(""https://docs.google.com/spreadsheets/d/1SX6NBoVAgQJ6U1MVXOaj8PK2l7WJ3RER9xtqwdhxkhw/edit?usp=sharing"",""สิงห์บุรี!J325"")"),19)</f>
        <v>19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IFERROR(__xludf.DUMMYFUNCTION("IMPORTRANGE(""https://docs.google.com/spreadsheets/d/1SX6NBoVAgQJ6U1MVXOaj8PK2l7WJ3RER9xtqwdhxkhw/edit?usp=sharing"",""สิงห์บุรี!J327"")"),19)</f>
        <v>19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IFERROR(__xludf.DUMMYFUNCTION("IMPORTRANGE(""https://docs.google.com/spreadsheets/d/1SX6NBoVAgQJ6U1MVXOaj8PK2l7WJ3RER9xtqwdhxkhw/edit?usp=sharing"",""สิงห์บุรี!J328"")"),0)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IFERROR(__xludf.DUMMYFUNCTION("IMPORTRANGE(""https://docs.google.com/spreadsheets/d/1SX6NBoVAgQJ6U1MVXOaj8PK2l7WJ3RER9xtqwdhxkhw/edit?usp=sharing"",""สิงห์บุรี!J329"")"),0)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IFERROR(__xludf.DUMMYFUNCTION("IMPORTRANGE(""https://docs.google.com/spreadsheets/d/1SX6NBoVAgQJ6U1MVXOaj8PK2l7WJ3RER9xtqwdhxkhw/edit?usp=sharing"",""สิงห์บุรี!M330"")"),12539)</f>
        <v>12539</v>
      </c>
      <c r="O435" s="412">
        <f t="shared" ref="O435:O439" ca="1" si="114">+IF(L435&gt;0,N435*100/L435,0)</f>
        <v>16.498684210526317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IFERROR(__xludf.DUMMYFUNCTION("IMPORTRANGE(""https://docs.google.com/spreadsheets/d/1SX6NBoVAgQJ6U1MVXOaj8PK2l7WJ3RER9xtqwdhxkhw/edit?usp=sharing"",""สิงห์บุรี!L331"")"),0)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IFERROR(__xludf.DUMMYFUNCTION("IMPORTRANGE(""https://docs.google.com/spreadsheets/d/1SX6NBoVAgQJ6U1MVXOaj8PK2l7WJ3RER9xtqwdhxkhw/edit?usp=sharing"",""สิงห์บุรี!M331"")"),0)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IFERROR(__xludf.DUMMYFUNCTION("IMPORTRANGE(""https://docs.google.com/spreadsheets/d/1SX6NBoVAgQJ6U1MVXOaj8PK2l7WJ3RER9xtqwdhxkhw/edit?usp=sharing"",""สิงห์บุรี!L332"")"),76000)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IFERROR(__xludf.DUMMYFUNCTION("IMPORTRANGE(""https://docs.google.com/spreadsheets/d/1SX6NBoVAgQJ6U1MVXOaj8PK2l7WJ3RER9xtqwdhxkhw/edit?usp=sharing"",""สิงห์บุรี!M332"")"),12539)</f>
        <v>12539</v>
      </c>
      <c r="O437" s="169">
        <f t="shared" ca="1" si="114"/>
        <v>16.498684210526317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IFERROR(__xludf.DUMMYFUNCTION("IMPORTRANGE(""https://docs.google.com/spreadsheets/d/1SX6NBoVAgQJ6U1MVXOaj8PK2l7WJ3RER9xtqwdhxkhw/edit?usp=sharing"",""สิงห์บุรี!L333"")"),0)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IFERROR(__xludf.DUMMYFUNCTION("IMPORTRANGE(""https://docs.google.com/spreadsheets/d/1SX6NBoVAgQJ6U1MVXOaj8PK2l7WJ3RER9xtqwdhxkhw/edit?usp=sharing"",""สิงห์บุรี!M333"")"),0)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IFERROR(__xludf.DUMMYFUNCTION("IMPORTRANGE(""https://docs.google.com/spreadsheets/d/1SX6NBoVAgQJ6U1MVXOaj8PK2l7WJ3RER9xtqwdhxkhw/edit?usp=sharing"",""สิงห์บุรี!L334"")"),76000)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IFERROR(__xludf.DUMMYFUNCTION("IMPORTRANGE(""https://docs.google.com/spreadsheets/d/1SX6NBoVAgQJ6U1MVXOaj8PK2l7WJ3RER9xtqwdhxkhw/edit?usp=sharing"",""สิงห์บุรี!M334"")"),12539)</f>
        <v>12539</v>
      </c>
      <c r="O439" s="169">
        <f t="shared" ca="1" si="114"/>
        <v>16.498684210526317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IFERROR(__xludf.DUMMYFUNCTION("IMPORTRANGE(""https://docs.google.com/spreadsheets/d/1SX6NBoVAgQJ6U1MVXOaj8PK2l7WJ3RER9xtqwdhxkhw/edit?usp=sharing"",""สิงห์บุรี!M335"")"),12539)</f>
        <v>12539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IFERROR(__xludf.DUMMYFUNCTION("IMPORTRANGE(""https://docs.google.com/spreadsheets/d/1SX6NBoVAgQJ6U1MVXOaj8PK2l7WJ3RER9xtqwdhxkhw/edit?usp=sharing"",""สิงห์บุรี!M338"")"),0)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IFERROR(__xludf.DUMMYFUNCTION("IMPORTRANGE(""https://docs.google.com/spreadsheets/d/1SX6NBoVAgQJ6U1MVXOaj8PK2l7WJ3RER9xtqwdhxkhw/edit?usp=sharing"",""สิงห์บุรี!J340"")"),0)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IFERROR(__xludf.DUMMYFUNCTION("IMPORTRANGE(""https://docs.google.com/spreadsheets/d/1SX6NBoVAgQJ6U1MVXOaj8PK2l7WJ3RER9xtqwdhxkhw/edit?usp=sharing"",""สิงห์บุรี!J341"")"),1)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IFERROR(__xludf.DUMMYFUNCTION("IMPORTRANGE(""https://docs.google.com/spreadsheets/d/1SX6NBoVAgQJ6U1MVXOaj8PK2l7WJ3RER9xtqwdhxkhw/edit?usp=sharing"",""สิงห์บุรี!J342"")"),1)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IFERROR(__xludf.DUMMYFUNCTION("IMPORTRANGE(""https://docs.google.com/spreadsheets/d/1SX6NBoVAgQJ6U1MVXOaj8PK2l7WJ3RER9xtqwdhxkhw/edit?usp=sharing"",""สิงห์บุรี!J343"")"),1)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1">
        <f ca="1">IFERROR(__xludf.DUMMYFUNCTION("IMPORTRANGE(""https://docs.google.com/spreadsheets/d/1SX6NBoVAgQJ6U1MVXOaj8PK2l7WJ3RER9xtqwdhxkhw/edit?usp=sharing"",""สิงห์บุรี!J344"")"),10)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IFERROR(__xludf.DUMMYFUNCTION("IMPORTRANGE(""https://docs.google.com/spreadsheets/d/1SX6NBoVAgQJ6U1MVXOaj8PK2l7WJ3RER9xtqwdhxkhw/edit?usp=sharing"",""สิงห์บุรี!I345"")"),10)</f>
        <v>10</v>
      </c>
      <c r="J450" s="189">
        <f ca="1">IFERROR(__xludf.DUMMYFUNCTION("IMPORTRANGE(""https://docs.google.com/spreadsheets/d/1SX6NBoVAgQJ6U1MVXOaj8PK2l7WJ3RER9xtqwdhxkhw/edit?usp=sharing"",""สิงห์บุรี!J345"")"),10)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IFERROR(__xludf.DUMMYFUNCTION("IMPORTRANGE(""https://docs.google.com/spreadsheets/d/1SX6NBoVAgQJ6U1MVXOaj8PK2l7WJ3RER9xtqwdhxkhw/edit?usp=sharing"",""สิงห์บุรี!I346"")"),0)</f>
        <v>0</v>
      </c>
      <c r="J451" s="188">
        <f ca="1">IFERROR(__xludf.DUMMYFUNCTION("IMPORTRANGE(""https://docs.google.com/spreadsheets/d/1SX6NBoVAgQJ6U1MVXOaj8PK2l7WJ3RER9xtqwdhxkhw/edit?usp=sharing"",""สิงห์บุรี!J346"")"),0)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IFERROR(__xludf.DUMMYFUNCTION("IMPORTRANGE(""https://docs.google.com/spreadsheets/d/1SX6NBoVAgQJ6U1MVXOaj8PK2l7WJ3RER9xtqwdhxkhw/edit?usp=sharing"",""สิงห์บุรี!I347"")"),0)</f>
        <v>0</v>
      </c>
      <c r="J452" s="188">
        <f ca="1">IFERROR(__xludf.DUMMYFUNCTION("IMPORTRANGE(""https://docs.google.com/spreadsheets/d/1SX6NBoVAgQJ6U1MVXOaj8PK2l7WJ3RER9xtqwdhxkhw/edit?usp=sharing"",""สิงห์บุรี!J347"")"),0)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IFERROR(__xludf.DUMMYFUNCTION("IMPORTRANGE(""https://docs.google.com/spreadsheets/d/1SX6NBoVAgQJ6U1MVXOaj8PK2l7WJ3RER9xtqwdhxkhw/edit?usp=sharing"",""สิงห์บุรี!J348"")"),0)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IFERROR(__xludf.DUMMYFUNCTION("IMPORTRANGE(""https://docs.google.com/spreadsheets/d/1SX6NBoVAgQJ6U1MVXOaj8PK2l7WJ3RER9xtqwdhxkhw/edit?usp=sharing"",""สิงห์บุรี!J349"")"),0)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IFERROR(__xludf.DUMMYFUNCTION("IMPORTRANGE(""https://docs.google.com/spreadsheets/d/1SX6NBoVAgQJ6U1MVXOaj8PK2l7WJ3RER9xtqwdhxkhw/edit?usp=sharing"",""สิงห์บุรี!L351"")"),0)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IFERROR(__xludf.DUMMYFUNCTION("IMPORTRANGE(""https://docs.google.com/spreadsheets/d/1SX6NBoVAgQJ6U1MVXOaj8PK2l7WJ3RER9xtqwdhxkhw/edit?usp=sharing"",""สิงห์บุรี!M351"")"),0)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IFERROR(__xludf.DUMMYFUNCTION("IMPORTRANGE(""https://docs.google.com/spreadsheets/d/1SX6NBoVAgQJ6U1MVXOaj8PK2l7WJ3RER9xtqwdhxkhw/edit?usp=sharing"",""สิงห์บุรี!L352"")"),0)</f>
        <v>0</v>
      </c>
      <c r="M457" s="165"/>
      <c r="N457" s="169">
        <f ca="1">IFERROR(__xludf.DUMMYFUNCTION("IMPORTRANGE(""https://docs.google.com/spreadsheets/d/1SX6NBoVAgQJ6U1MVXOaj8PK2l7WJ3RER9xtqwdhxkhw/edit?usp=sharing"",""สิงห์บุรี!M352"")"),0)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IFERROR(__xludf.DUMMYFUNCTION("IMPORTRANGE(""https://docs.google.com/spreadsheets/d/1SX6NBoVAgQJ6U1MVXOaj8PK2l7WJ3RER9xtqwdhxkhw/edit?usp=sharing"",""สิงห์บุรี!L353"")"),0)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IFERROR(__xludf.DUMMYFUNCTION("IMPORTRANGE(""https://docs.google.com/spreadsheets/d/1SX6NBoVAgQJ6U1MVXOaj8PK2l7WJ3RER9xtqwdhxkhw/edit?usp=sharing"",""สิงห์บุรี!M353"")"),0)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IFERROR(__xludf.DUMMYFUNCTION("IMPORTRANGE(""https://docs.google.com/spreadsheets/d/1SX6NBoVAgQJ6U1MVXOaj8PK2l7WJ3RER9xtqwdhxkhw/edit?usp=sharing"",""สิงห์บุรี!L354"")"),0)</f>
        <v>0</v>
      </c>
      <c r="M459" s="169"/>
      <c r="N459" s="169">
        <f ca="1">IFERROR(__xludf.DUMMYFUNCTION("IMPORTRANGE(""https://docs.google.com/spreadsheets/d/1SX6NBoVAgQJ6U1MVXOaj8PK2l7WJ3RER9xtqwdhxkhw/edit?usp=sharing"",""สิงห์บุรี!M354"")"),0)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IFERROR(__xludf.DUMMYFUNCTION("IMPORTRANGE(""https://docs.google.com/spreadsheets/d/1SX6NBoVAgQJ6U1MVXOaj8PK2l7WJ3RER9xtqwdhxkhw/edit?usp=sharing"",""สิงห์บุรี!M355"")"),0)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IFERROR(__xludf.DUMMYFUNCTION("IMPORTRANGE(""https://docs.google.com/spreadsheets/d/1SX6NBoVAgQJ6U1MVXOaj8PK2l7WJ3RER9xtqwdhxkhw/edit?usp=sharing"",""สิงห์บุรี!M356"")"),0)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IFERROR(__xludf.DUMMYFUNCTION("IMPORTRANGE(""https://docs.google.com/spreadsheets/d/1SX6NBoVAgQJ6U1MVXOaj8PK2l7WJ3RER9xtqwdhxkhw/edit?usp=sharing"",""สิงห์บุรี!I359"")"),0)</f>
        <v>0</v>
      </c>
      <c r="J464" s="268">
        <f ca="1">IFERROR(__xludf.DUMMYFUNCTION("IMPORTRANGE(""https://docs.google.com/spreadsheets/d/1SX6NBoVAgQJ6U1MVXOaj8PK2l7WJ3RER9xtqwdhxkhw/edit?usp=sharing"",""สิงห์บุรี!J359"")"),0)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IFERROR(__xludf.DUMMYFUNCTION("IMPORTRANGE(""https://docs.google.com/spreadsheets/d/1SX6NBoVAgQJ6U1MVXOaj8PK2l7WJ3RER9xtqwdhxkhw/edit?usp=sharing"",""สิงห์บุรี!I362"")"),0)</f>
        <v>0</v>
      </c>
      <c r="J467" s="189">
        <f ca="1">IFERROR(__xludf.DUMMYFUNCTION("IMPORTRANGE(""https://docs.google.com/spreadsheets/d/1SX6NBoVAgQJ6U1MVXOaj8PK2l7WJ3RER9xtqwdhxkhw/edit?usp=sharing"",""สิงห์บุรี!J362"")"),0)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IFERROR(__xludf.DUMMYFUNCTION("IMPORTRANGE(""https://docs.google.com/spreadsheets/d/1SX6NBoVAgQJ6U1MVXOaj8PK2l7WJ3RER9xtqwdhxkhw/edit?usp=sharing"",""สิงห์บุรี!I363"")"),0)</f>
        <v>0</v>
      </c>
      <c r="J468" s="189">
        <f ca="1">IFERROR(__xludf.DUMMYFUNCTION("IMPORTRANGE(""https://docs.google.com/spreadsheets/d/1SX6NBoVAgQJ6U1MVXOaj8PK2l7WJ3RER9xtqwdhxkhw/edit?usp=sharing"",""สิงห์บุรี!J363"")"),0)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IFERROR(__xludf.DUMMYFUNCTION("IMPORTRANGE(""https://docs.google.com/spreadsheets/d/1SX6NBoVAgQJ6U1MVXOaj8PK2l7WJ3RER9xtqwdhxkhw/edit?usp=sharing"",""สิงห์บุรี!I364"")"),0)</f>
        <v>0</v>
      </c>
      <c r="J469" s="189">
        <f ca="1">IFERROR(__xludf.DUMMYFUNCTION("IMPORTRANGE(""https://docs.google.com/spreadsheets/d/1SX6NBoVAgQJ6U1MVXOaj8PK2l7WJ3RER9xtqwdhxkhw/edit?usp=sharing"",""สิงห์บุรี!J364"")"),0)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IFERROR(__xludf.DUMMYFUNCTION("IMPORTRANGE(""https://docs.google.com/spreadsheets/d/1SX6NBoVAgQJ6U1MVXOaj8PK2l7WJ3RER9xtqwdhxkhw/edit?usp=sharing"",""สิงห์บุรี!I365"")"),0)</f>
        <v>0</v>
      </c>
      <c r="J470" s="189">
        <f ca="1">IFERROR(__xludf.DUMMYFUNCTION("IMPORTRANGE(""https://docs.google.com/spreadsheets/d/1SX6NBoVAgQJ6U1MVXOaj8PK2l7WJ3RER9xtqwdhxkhw/edit?usp=sharing"",""สิงห์บุรี!J365"")"),0)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IFERROR(__xludf.DUMMYFUNCTION("IMPORTRANGE(""https://docs.google.com/spreadsheets/d/1SX6NBoVAgQJ6U1MVXOaj8PK2l7WJ3RER9xtqwdhxkhw/edit?usp=sharing"",""สิงห์บุรี!I366"")"),0)</f>
        <v>0</v>
      </c>
      <c r="J471" s="189">
        <f ca="1">IFERROR(__xludf.DUMMYFUNCTION("IMPORTRANGE(""https://docs.google.com/spreadsheets/d/1SX6NBoVAgQJ6U1MVXOaj8PK2l7WJ3RER9xtqwdhxkhw/edit?usp=sharing"",""สิงห์บุรี!J366"")"),0)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IFERROR(__xludf.DUMMYFUNCTION("IMPORTRANGE(""https://docs.google.com/spreadsheets/d/1SX6NBoVAgQJ6U1MVXOaj8PK2l7WJ3RER9xtqwdhxkhw/edit?usp=sharing"",""สิงห์บุรี!I367"")"),0)</f>
        <v>0</v>
      </c>
      <c r="J472" s="189">
        <f ca="1">IFERROR(__xludf.DUMMYFUNCTION("IMPORTRANGE(""https://docs.google.com/spreadsheets/d/1SX6NBoVAgQJ6U1MVXOaj8PK2l7WJ3RER9xtqwdhxkhw/edit?usp=sharing"",""สิงห์บุรี!J367"")"),0)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IFERROR(__xludf.DUMMYFUNCTION("IMPORTRANGE(""https://docs.google.com/spreadsheets/d/1SX6NBoVAgQJ6U1MVXOaj8PK2l7WJ3RER9xtqwdhxkhw/edit?usp=sharing"",""สิงห์บุรี!I370"")"),0)</f>
        <v>0</v>
      </c>
      <c r="J475" s="189">
        <f ca="1">IFERROR(__xludf.DUMMYFUNCTION("IMPORTRANGE(""https://docs.google.com/spreadsheets/d/1SX6NBoVAgQJ6U1MVXOaj8PK2l7WJ3RER9xtqwdhxkhw/edit?usp=sharing"",""สิงห์บุรี!J370"")"),0)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IFERROR(__xludf.DUMMYFUNCTION("IMPORTRANGE(""https://docs.google.com/spreadsheets/d/1SX6NBoVAgQJ6U1MVXOaj8PK2l7WJ3RER9xtqwdhxkhw/edit?usp=sharing"",""สิงห์บุรี!I371"")"),0)</f>
        <v>0</v>
      </c>
      <c r="J476" s="189">
        <f ca="1">IFERROR(__xludf.DUMMYFUNCTION("IMPORTRANGE(""https://docs.google.com/spreadsheets/d/1SX6NBoVAgQJ6U1MVXOaj8PK2l7WJ3RER9xtqwdhxkhw/edit?usp=sharing"",""สิงห์บุรี!J371"")"),0)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IFERROR(__xludf.DUMMYFUNCTION("IMPORTRANGE(""https://docs.google.com/spreadsheets/d/1SX6NBoVAgQJ6U1MVXOaj8PK2l7WJ3RER9xtqwdhxkhw/edit?usp=sharing"",""สิงห์บุรี!I372"")"),0)</f>
        <v>0</v>
      </c>
      <c r="J477" s="189">
        <f ca="1">IFERROR(__xludf.DUMMYFUNCTION("IMPORTRANGE(""https://docs.google.com/spreadsheets/d/1SX6NBoVAgQJ6U1MVXOaj8PK2l7WJ3RER9xtqwdhxkhw/edit?usp=sharing"",""สิงห์บุรี!J372"")"),0)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IFERROR(__xludf.DUMMYFUNCTION("IMPORTRANGE(""https://docs.google.com/spreadsheets/d/1SX6NBoVAgQJ6U1MVXOaj8PK2l7WJ3RER9xtqwdhxkhw/edit?usp=sharing"",""สิงห์บุรี!I373"")"),0)</f>
        <v>0</v>
      </c>
      <c r="J478" s="189">
        <f ca="1">IFERROR(__xludf.DUMMYFUNCTION("IMPORTRANGE(""https://docs.google.com/spreadsheets/d/1SX6NBoVAgQJ6U1MVXOaj8PK2l7WJ3RER9xtqwdhxkhw/edit?usp=sharing"",""สิงห์บุรี!J373"")"),0)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IFERROR(__xludf.DUMMYFUNCTION("IMPORTRANGE(""https://docs.google.com/spreadsheets/d/1SX6NBoVAgQJ6U1MVXOaj8PK2l7WJ3RER9xtqwdhxkhw/edit?usp=sharing"",""สิงห์บุรี!I374"")"),0)</f>
        <v>0</v>
      </c>
      <c r="J479" s="189">
        <f ca="1">IFERROR(__xludf.DUMMYFUNCTION("IMPORTRANGE(""https://docs.google.com/spreadsheets/d/1SX6NBoVAgQJ6U1MVXOaj8PK2l7WJ3RER9xtqwdhxkhw/edit?usp=sharing"",""สิงห์บุรี!J374"")"),0)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IFERROR(__xludf.DUMMYFUNCTION("IMPORTRANGE(""https://docs.google.com/spreadsheets/d/1SX6NBoVAgQJ6U1MVXOaj8PK2l7WJ3RER9xtqwdhxkhw/edit?usp=sharing"",""สิงห์บุรี!I375"")"),0)</f>
        <v>0</v>
      </c>
      <c r="J480" s="189">
        <f ca="1">IFERROR(__xludf.DUMMYFUNCTION("IMPORTRANGE(""https://docs.google.com/spreadsheets/d/1SX6NBoVAgQJ6U1MVXOaj8PK2l7WJ3RER9xtqwdhxkhw/edit?usp=sharing"",""สิงห์บุรี!J375"")"),0)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IFERROR(__xludf.DUMMYFUNCTION("IMPORTRANGE(""https://docs.google.com/spreadsheets/d/1SX6NBoVAgQJ6U1MVXOaj8PK2l7WJ3RER9xtqwdhxkhw/edit?usp=sharing"",""สิงห์บุรี!I378"")"),0)</f>
        <v>0</v>
      </c>
      <c r="J483" s="189">
        <f ca="1">IFERROR(__xludf.DUMMYFUNCTION("IMPORTRANGE(""https://docs.google.com/spreadsheets/d/1SX6NBoVAgQJ6U1MVXOaj8PK2l7WJ3RER9xtqwdhxkhw/edit?usp=sharing"",""สิงห์บุรี!J378"")"),0)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IFERROR(__xludf.DUMMYFUNCTION("IMPORTRANGE(""https://docs.google.com/spreadsheets/d/1SX6NBoVAgQJ6U1MVXOaj8PK2l7WJ3RER9xtqwdhxkhw/edit?usp=sharing"",""สิงห์บุรี!I379"")"),0)</f>
        <v>0</v>
      </c>
      <c r="J484" s="189">
        <f ca="1">IFERROR(__xludf.DUMMYFUNCTION("IMPORTRANGE(""https://docs.google.com/spreadsheets/d/1SX6NBoVAgQJ6U1MVXOaj8PK2l7WJ3RER9xtqwdhxkhw/edit?usp=sharing"",""สิงห์บุรี!J379"")"),0)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IFERROR(__xludf.DUMMYFUNCTION("IMPORTRANGE(""https://docs.google.com/spreadsheets/d/1SX6NBoVAgQJ6U1MVXOaj8PK2l7WJ3RER9xtqwdhxkhw/edit?usp=sharing"",""สิงห์บุรี!I380"")"),0)</f>
        <v>0</v>
      </c>
      <c r="J485" s="189">
        <f ca="1">IFERROR(__xludf.DUMMYFUNCTION("IMPORTRANGE(""https://docs.google.com/spreadsheets/d/1SX6NBoVAgQJ6U1MVXOaj8PK2l7WJ3RER9xtqwdhxkhw/edit?usp=sharing"",""สิงห์บุรี!J380"")"),0)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IFERROR(__xludf.DUMMYFUNCTION("IMPORTRANGE(""https://docs.google.com/spreadsheets/d/1SX6NBoVAgQJ6U1MVXOaj8PK2l7WJ3RER9xtqwdhxkhw/edit?usp=sharing"",""สิงห์บุรี!I381"")"),0)</f>
        <v>0</v>
      </c>
      <c r="J486" s="189">
        <f ca="1">IFERROR(__xludf.DUMMYFUNCTION("IMPORTRANGE(""https://docs.google.com/spreadsheets/d/1SX6NBoVAgQJ6U1MVXOaj8PK2l7WJ3RER9xtqwdhxkhw/edit?usp=sharing"",""สิงห์บุรี!J381"")"),0)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IFERROR(__xludf.DUMMYFUNCTION("IMPORTRANGE(""https://docs.google.com/spreadsheets/d/1SX6NBoVAgQJ6U1MVXOaj8PK2l7WJ3RER9xtqwdhxkhw/edit?usp=sharing"",""สิงห์บุรี!I384"")"),0)</f>
        <v>0</v>
      </c>
      <c r="J489" s="189">
        <f ca="1">IFERROR(__xludf.DUMMYFUNCTION("IMPORTRANGE(""https://docs.google.com/spreadsheets/d/1SX6NBoVAgQJ6U1MVXOaj8PK2l7WJ3RER9xtqwdhxkhw/edit?usp=sharing"",""สิงห์บุรี!J384"")"),0)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IFERROR(__xludf.DUMMYFUNCTION("IMPORTRANGE(""https://docs.google.com/spreadsheets/d/1SX6NBoVAgQJ6U1MVXOaj8PK2l7WJ3RER9xtqwdhxkhw/edit?usp=sharing"",""สิงห์บุรี!I385"")"),0)</f>
        <v>0</v>
      </c>
      <c r="J490" s="189">
        <f ca="1">IFERROR(__xludf.DUMMYFUNCTION("IMPORTRANGE(""https://docs.google.com/spreadsheets/d/1SX6NBoVAgQJ6U1MVXOaj8PK2l7WJ3RER9xtqwdhxkhw/edit?usp=sharing"",""สิงห์บุรี!J385"")"),0)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IFERROR(__xludf.DUMMYFUNCTION("IMPORTRANGE(""https://docs.google.com/spreadsheets/d/1SX6NBoVAgQJ6U1MVXOaj8PK2l7WJ3RER9xtqwdhxkhw/edit?usp=sharing"",""สิงห์บุรี!I386"")"),0)</f>
        <v>0</v>
      </c>
      <c r="J491" s="189">
        <f ca="1">IFERROR(__xludf.DUMMYFUNCTION("IMPORTRANGE(""https://docs.google.com/spreadsheets/d/1SX6NBoVAgQJ6U1MVXOaj8PK2l7WJ3RER9xtqwdhxkhw/edit?usp=sharing"",""สิงห์บุรี!J386"")"),0)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IFERROR(__xludf.DUMMYFUNCTION("IMPORTRANGE(""https://docs.google.com/spreadsheets/d/1SX6NBoVAgQJ6U1MVXOaj8PK2l7WJ3RER9xtqwdhxkhw/edit?usp=sharing"",""สิงห์บุรี!I387"")"),0)</f>
        <v>0</v>
      </c>
      <c r="J492" s="189">
        <f ca="1">IFERROR(__xludf.DUMMYFUNCTION("IMPORTRANGE(""https://docs.google.com/spreadsheets/d/1SX6NBoVAgQJ6U1MVXOaj8PK2l7WJ3RER9xtqwdhxkhw/edit?usp=sharing"",""สิงห์บุรี!J387"")"),0)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IFERROR(__xludf.DUMMYFUNCTION("IMPORTRANGE(""https://docs.google.com/spreadsheets/d/1SX6NBoVAgQJ6U1MVXOaj8PK2l7WJ3RER9xtqwdhxkhw/edit?usp=sharing"",""สิงห์บุรี!I388"")"),0)</f>
        <v>0</v>
      </c>
      <c r="J493" s="189">
        <f ca="1">IFERROR(__xludf.DUMMYFUNCTION("IMPORTRANGE(""https://docs.google.com/spreadsheets/d/1SX6NBoVAgQJ6U1MVXOaj8PK2l7WJ3RER9xtqwdhxkhw/edit?usp=sharing"",""สิงห์บุรี!J388"")"),0)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IFERROR(__xludf.DUMMYFUNCTION("IMPORTRANGE(""https://docs.google.com/spreadsheets/d/1SX6NBoVAgQJ6U1MVXOaj8PK2l7WJ3RER9xtqwdhxkhw/edit?usp=sharing"",""สิงห์บุรี!I395"")"),0)</f>
        <v>0</v>
      </c>
      <c r="J500" s="162">
        <f ca="1">IFERROR(__xludf.DUMMYFUNCTION("IMPORTRANGE(""https://docs.google.com/spreadsheets/d/1SX6NBoVAgQJ6U1MVXOaj8PK2l7WJ3RER9xtqwdhxkhw/edit?usp=sharing"",""สิงห์บุรี!J395"")"),0)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IFERROR(__xludf.DUMMYFUNCTION("IMPORTRANGE(""https://docs.google.com/spreadsheets/d/1SX6NBoVAgQJ6U1MVXOaj8PK2l7WJ3RER9xtqwdhxkhw/edit?usp=sharing"",""สิงห์บุรี!I396"")"),0)</f>
        <v>0</v>
      </c>
      <c r="J501" s="162">
        <f ca="1">IFERROR(__xludf.DUMMYFUNCTION("IMPORTRANGE(""https://docs.google.com/spreadsheets/d/1SX6NBoVAgQJ6U1MVXOaj8PK2l7WJ3RER9xtqwdhxkhw/edit?usp=sharing"",""สิงห์บุรี!J396"")"),0)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IFERROR(__xludf.DUMMYFUNCTION("IMPORTRANGE(""https://docs.google.com/spreadsheets/d/1SX6NBoVAgQJ6U1MVXOaj8PK2l7WJ3RER9xtqwdhxkhw/edit?usp=sharing"",""สิงห์บุรี!I397"")"),0)</f>
        <v>0</v>
      </c>
      <c r="J502" s="189">
        <f ca="1">IFERROR(__xludf.DUMMYFUNCTION("IMPORTRANGE(""https://docs.google.com/spreadsheets/d/1SX6NBoVAgQJ6U1MVXOaj8PK2l7WJ3RER9xtqwdhxkhw/edit?usp=sharing"",""สิงห์บุรี!J397"")"),0)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IFERROR(__xludf.DUMMYFUNCTION("IMPORTRANGE(""https://docs.google.com/spreadsheets/d/1SX6NBoVAgQJ6U1MVXOaj8PK2l7WJ3RER9xtqwdhxkhw/edit?usp=sharing"",""สิงห์บุรี!I398"")"),0)</f>
        <v>0</v>
      </c>
      <c r="J503" s="198">
        <f ca="1">IFERROR(__xludf.DUMMYFUNCTION("IMPORTRANGE(""https://docs.google.com/spreadsheets/d/1SX6NBoVAgQJ6U1MVXOaj8PK2l7WJ3RER9xtqwdhxkhw/edit?usp=sharing"",""สิงห์บุรี!J398"")"),0)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IFERROR(__xludf.DUMMYFUNCTION("IMPORTRANGE(""https://docs.google.com/spreadsheets/d/1SX6NBoVAgQJ6U1MVXOaj8PK2l7WJ3RER9xtqwdhxkhw/edit?usp=sharing"",""สิงห์บุรี!I399"")"),0)</f>
        <v>0</v>
      </c>
      <c r="J504" s="189">
        <f ca="1">IFERROR(__xludf.DUMMYFUNCTION("IMPORTRANGE(""https://docs.google.com/spreadsheets/d/1SX6NBoVAgQJ6U1MVXOaj8PK2l7WJ3RER9xtqwdhxkhw/edit?usp=sharing"",""สิงห์บุรี!J399"")"),0)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IFERROR(__xludf.DUMMYFUNCTION("IMPORTRANGE(""https://docs.google.com/spreadsheets/d/1SX6NBoVAgQJ6U1MVXOaj8PK2l7WJ3RER9xtqwdhxkhw/edit?usp=sharing"",""สิงห์บุรี!I400"")"),0)</f>
        <v>0</v>
      </c>
      <c r="J505" s="198">
        <f ca="1">IFERROR(__xludf.DUMMYFUNCTION("IMPORTRANGE(""https://docs.google.com/spreadsheets/d/1SX6NBoVAgQJ6U1MVXOaj8PK2l7WJ3RER9xtqwdhxkhw/edit?usp=sharing"",""สิงห์บุรี!J400"")"),0)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IFERROR(__xludf.DUMMYFUNCTION("IMPORTRANGE(""https://docs.google.com/spreadsheets/d/1SX6NBoVAgQJ6U1MVXOaj8PK2l7WJ3RER9xtqwdhxkhw/edit?usp=sharing"",""สิงห์บุรี!I401"")"),0)</f>
        <v>0</v>
      </c>
      <c r="J506" s="189">
        <f ca="1">IFERROR(__xludf.DUMMYFUNCTION("IMPORTRANGE(""https://docs.google.com/spreadsheets/d/1SX6NBoVAgQJ6U1MVXOaj8PK2l7WJ3RER9xtqwdhxkhw/edit?usp=sharing"",""สิงห์บุรี!J401"")"),0)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IFERROR(__xludf.DUMMYFUNCTION("IMPORTRANGE(""https://docs.google.com/spreadsheets/d/1SX6NBoVAgQJ6U1MVXOaj8PK2l7WJ3RER9xtqwdhxkhw/edit?usp=sharing"",""สิงห์บุรี!I402"")"),0)</f>
        <v>0</v>
      </c>
      <c r="J507" s="198">
        <f ca="1">IFERROR(__xludf.DUMMYFUNCTION("IMPORTRANGE(""https://docs.google.com/spreadsheets/d/1SX6NBoVAgQJ6U1MVXOaj8PK2l7WJ3RER9xtqwdhxkhw/edit?usp=sharing"",""สิงห์บุรี!J402"")"),0)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IFERROR(__xludf.DUMMYFUNCTION("IMPORTRANGE(""https://docs.google.com/spreadsheets/d/1SX6NBoVAgQJ6U1MVXOaj8PK2l7WJ3RER9xtqwdhxkhw/edit?usp=sharing"",""สิงห์บุรี!I403"")"),0)</f>
        <v>0</v>
      </c>
      <c r="J508" s="162">
        <f ca="1">IFERROR(__xludf.DUMMYFUNCTION("IMPORTRANGE(""https://docs.google.com/spreadsheets/d/1SX6NBoVAgQJ6U1MVXOaj8PK2l7WJ3RER9xtqwdhxkhw/edit?usp=sharing"",""สิงห์บุรี!J403"")"),0)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IFERROR(__xludf.DUMMYFUNCTION("IMPORTRANGE(""https://docs.google.com/spreadsheets/d/1SX6NBoVAgQJ6U1MVXOaj8PK2l7WJ3RER9xtqwdhxkhw/edit?usp=sharing"",""สิงห์บุรี!I404"")"),0)</f>
        <v>0</v>
      </c>
      <c r="J509" s="162">
        <f ca="1">IFERROR(__xludf.DUMMYFUNCTION("IMPORTRANGE(""https://docs.google.com/spreadsheets/d/1SX6NBoVAgQJ6U1MVXOaj8PK2l7WJ3RER9xtqwdhxkhw/edit?usp=sharing"",""สิงห์บุรี!J404"")"),0)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IFERROR(__xludf.DUMMYFUNCTION("IMPORTRANGE(""https://docs.google.com/spreadsheets/d/1SX6NBoVAgQJ6U1MVXOaj8PK2l7WJ3RER9xtqwdhxkhw/edit?usp=sharing"",""สิงห์บุรี!I405"")"),0)</f>
        <v>0</v>
      </c>
      <c r="J510" s="198">
        <f ca="1">IFERROR(__xludf.DUMMYFUNCTION("IMPORTRANGE(""https://docs.google.com/spreadsheets/d/1SX6NBoVAgQJ6U1MVXOaj8PK2l7WJ3RER9xtqwdhxkhw/edit?usp=sharing"",""สิงห์บุรี!J405"")"),0)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IFERROR(__xludf.DUMMYFUNCTION("IMPORTRANGE(""https://docs.google.com/spreadsheets/d/1SX6NBoVAgQJ6U1MVXOaj8PK2l7WJ3RER9xtqwdhxkhw/edit?usp=sharing"",""สิงห์บุรี!I406"")"),0)</f>
        <v>0</v>
      </c>
      <c r="J511" s="198">
        <f ca="1">IFERROR(__xludf.DUMMYFUNCTION("IMPORTRANGE(""https://docs.google.com/spreadsheets/d/1SX6NBoVAgQJ6U1MVXOaj8PK2l7WJ3RER9xtqwdhxkhw/edit?usp=sharing"",""สิงห์บุรี!J406"")"),0)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IFERROR(__xludf.DUMMYFUNCTION("IMPORTRANGE(""https://docs.google.com/spreadsheets/d/1SX6NBoVAgQJ6U1MVXOaj8PK2l7WJ3RER9xtqwdhxkhw/edit?usp=sharing"",""สิงห์บุรี!I407"")"),0)</f>
        <v>0</v>
      </c>
      <c r="J512" s="198">
        <f ca="1">IFERROR(__xludf.DUMMYFUNCTION("IMPORTRANGE(""https://docs.google.com/spreadsheets/d/1SX6NBoVAgQJ6U1MVXOaj8PK2l7WJ3RER9xtqwdhxkhw/edit?usp=sharing"",""สิงห์บุรี!J407"")"),0)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IFERROR(__xludf.DUMMYFUNCTION("IMPORTRANGE(""https://docs.google.com/spreadsheets/d/1SX6NBoVAgQJ6U1MVXOaj8PK2l7WJ3RER9xtqwdhxkhw/edit?usp=sharing"",""สิงห์บุรี!I408"")"),0)</f>
        <v>0</v>
      </c>
      <c r="J513" s="198">
        <f ca="1">IFERROR(__xludf.DUMMYFUNCTION("IMPORTRANGE(""https://docs.google.com/spreadsheets/d/1SX6NBoVAgQJ6U1MVXOaj8PK2l7WJ3RER9xtqwdhxkhw/edit?usp=sharing"",""สิงห์บุรี!J408"")"),0)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IFERROR(__xludf.DUMMYFUNCTION("IMPORTRANGE(""https://docs.google.com/spreadsheets/d/1SX6NBoVAgQJ6U1MVXOaj8PK2l7WJ3RER9xtqwdhxkhw/edit?usp=sharing"",""สิงห์บุรี!I409"")"),0)</f>
        <v>0</v>
      </c>
      <c r="J514" s="198">
        <f ca="1">IFERROR(__xludf.DUMMYFUNCTION("IMPORTRANGE(""https://docs.google.com/spreadsheets/d/1SX6NBoVAgQJ6U1MVXOaj8PK2l7WJ3RER9xtqwdhxkhw/edit?usp=sharing"",""สิงห์บุรี!J409"")"),0)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IFERROR(__xludf.DUMMYFUNCTION("IMPORTRANGE(""https://docs.google.com/spreadsheets/d/1SX6NBoVAgQJ6U1MVXOaj8PK2l7WJ3RER9xtqwdhxkhw/edit?usp=sharing"",""สิงห์บุรี!I410"")"),0)</f>
        <v>0</v>
      </c>
      <c r="J515" s="198">
        <f ca="1">IFERROR(__xludf.DUMMYFUNCTION("IMPORTRANGE(""https://docs.google.com/spreadsheets/d/1SX6NBoVAgQJ6U1MVXOaj8PK2l7WJ3RER9xtqwdhxkhw/edit?usp=sharing"",""สิงห์บุรี!J410"")"),0)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IFERROR(__xludf.DUMMYFUNCTION("IMPORTRANGE(""https://docs.google.com/spreadsheets/d/1SX6NBoVAgQJ6U1MVXOaj8PK2l7WJ3RER9xtqwdhxkhw/edit?usp=sharing"",""สิงห์บุรี!I411"")"),0)</f>
        <v>0</v>
      </c>
      <c r="J516" s="268">
        <f ca="1">IFERROR(__xludf.DUMMYFUNCTION("IMPORTRANGE(""https://docs.google.com/spreadsheets/d/1SX6NBoVAgQJ6U1MVXOaj8PK2l7WJ3RER9xtqwdhxkhw/edit?usp=sharing"",""สิงห์บุรี!J411"")"),0)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IFERROR(__xludf.DUMMYFUNCTION("IMPORTRANGE(""https://docs.google.com/spreadsheets/d/1SX6NBoVAgQJ6U1MVXOaj8PK2l7WJ3RER9xtqwdhxkhw/edit?usp=sharing"",""สิงห์บุรี!I412"")"),0)</f>
        <v>0</v>
      </c>
      <c r="J517" s="285">
        <f ca="1">IFERROR(__xludf.DUMMYFUNCTION("IMPORTRANGE(""https://docs.google.com/spreadsheets/d/1SX6NBoVAgQJ6U1MVXOaj8PK2l7WJ3RER9xtqwdhxkhw/edit?usp=sharing"",""สิงห์บุรี!J412"")"),0)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IFERROR(__xludf.DUMMYFUNCTION("IMPORTRANGE(""https://docs.google.com/spreadsheets/d/1SX6NBoVAgQJ6U1MVXOaj8PK2l7WJ3RER9xtqwdhxkhw/edit?usp=sharing"",""สิงห์บุรี!I413"")"),0)</f>
        <v>0</v>
      </c>
      <c r="J518" s="285">
        <f ca="1">IFERROR(__xludf.DUMMYFUNCTION("IMPORTRANGE(""https://docs.google.com/spreadsheets/d/1SX6NBoVAgQJ6U1MVXOaj8PK2l7WJ3RER9xtqwdhxkhw/edit?usp=sharing"",""สิงห์บุรี!J413"")"),0)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IFERROR(__xludf.DUMMYFUNCTION("IMPORTRANGE(""https://docs.google.com/spreadsheets/d/1SX6NBoVAgQJ6U1MVXOaj8PK2l7WJ3RER9xtqwdhxkhw/edit?usp=sharing"",""สิงห์บุรี!I414"")"),0)</f>
        <v>0</v>
      </c>
      <c r="J519" s="188">
        <f ca="1">IFERROR(__xludf.DUMMYFUNCTION("IMPORTRANGE(""https://docs.google.com/spreadsheets/d/1SX6NBoVAgQJ6U1MVXOaj8PK2l7WJ3RER9xtqwdhxkhw/edit?usp=sharing"",""สิงห์บุรี!J414"")"),0)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IFERROR(__xludf.DUMMYFUNCTION("IMPORTRANGE(""https://docs.google.com/spreadsheets/d/1SX6NBoVAgQJ6U1MVXOaj8PK2l7WJ3RER9xtqwdhxkhw/edit?usp=sharing"",""สิงห์บุรี!I415"")"),0)</f>
        <v>0</v>
      </c>
      <c r="J520" s="188">
        <f ca="1">IFERROR(__xludf.DUMMYFUNCTION("IMPORTRANGE(""https://docs.google.com/spreadsheets/d/1SX6NBoVAgQJ6U1MVXOaj8PK2l7WJ3RER9xtqwdhxkhw/edit?usp=sharing"",""สิงห์บุรี!J415"")"),0)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IFERROR(__xludf.DUMMYFUNCTION("IMPORTRANGE(""https://docs.google.com/spreadsheets/d/1SX6NBoVAgQJ6U1MVXOaj8PK2l7WJ3RER9xtqwdhxkhw/edit?usp=sharing"",""สิงห์บุรี!I416"")"),0)</f>
        <v>0</v>
      </c>
      <c r="J521" s="188">
        <f ca="1">IFERROR(__xludf.DUMMYFUNCTION("IMPORTRANGE(""https://docs.google.com/spreadsheets/d/1SX6NBoVAgQJ6U1MVXOaj8PK2l7WJ3RER9xtqwdhxkhw/edit?usp=sharing"",""สิงห์บุรี!J416"")"),0)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IFERROR(__xludf.DUMMYFUNCTION("IMPORTRANGE(""https://docs.google.com/spreadsheets/d/1SX6NBoVAgQJ6U1MVXOaj8PK2l7WJ3RER9xtqwdhxkhw/edit?usp=sharing"",""สิงห์บุรี!I417"")"),0)</f>
        <v>0</v>
      </c>
      <c r="J522" s="188">
        <f ca="1">IFERROR(__xludf.DUMMYFUNCTION("IMPORTRANGE(""https://docs.google.com/spreadsheets/d/1SX6NBoVAgQJ6U1MVXOaj8PK2l7WJ3RER9xtqwdhxkhw/edit?usp=sharing"",""สิงห์บุรี!J417"")"),0)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IFERROR(__xludf.DUMMYFUNCTION("IMPORTRANGE(""https://docs.google.com/spreadsheets/d/1SX6NBoVAgQJ6U1MVXOaj8PK2l7WJ3RER9xtqwdhxkhw/edit?usp=sharing"",""สิงห์บุรี!I418"")"),0)</f>
        <v>0</v>
      </c>
      <c r="J523" s="188">
        <f ca="1">IFERROR(__xludf.DUMMYFUNCTION("IMPORTRANGE(""https://docs.google.com/spreadsheets/d/1SX6NBoVAgQJ6U1MVXOaj8PK2l7WJ3RER9xtqwdhxkhw/edit?usp=sharing"",""สิงห์บุรี!J418"")"),0)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IFERROR(__xludf.DUMMYFUNCTION("IMPORTRANGE(""https://docs.google.com/spreadsheets/d/1SX6NBoVAgQJ6U1MVXOaj8PK2l7WJ3RER9xtqwdhxkhw/edit?usp=sharing"",""สิงห์บุรี!I419"")"),0)</f>
        <v>0</v>
      </c>
      <c r="J524" s="188">
        <f ca="1">IFERROR(__xludf.DUMMYFUNCTION("IMPORTRANGE(""https://docs.google.com/spreadsheets/d/1SX6NBoVAgQJ6U1MVXOaj8PK2l7WJ3RER9xtqwdhxkhw/edit?usp=sharing"",""สิงห์บุรี!J419"")"),0)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IFERROR(__xludf.DUMMYFUNCTION("IMPORTRANGE(""https://docs.google.com/spreadsheets/d/1SX6NBoVAgQJ6U1MVXOaj8PK2l7WJ3RER9xtqwdhxkhw/edit?usp=sharing"",""สิงห์บุรี!I420"")"),0)</f>
        <v>0</v>
      </c>
      <c r="J525" s="285">
        <f ca="1">IFERROR(__xludf.DUMMYFUNCTION("IMPORTRANGE(""https://docs.google.com/spreadsheets/d/1SX6NBoVAgQJ6U1MVXOaj8PK2l7WJ3RER9xtqwdhxkhw/edit?usp=sharing"",""สิงห์บุรี!J420"")"),0)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IFERROR(__xludf.DUMMYFUNCTION("IMPORTRANGE(""https://docs.google.com/spreadsheets/d/1SX6NBoVAgQJ6U1MVXOaj8PK2l7WJ3RER9xtqwdhxkhw/edit?usp=sharing"",""สิงห์บุรี!I421"")"),0)</f>
        <v>0</v>
      </c>
      <c r="J526" s="285">
        <f ca="1">IFERROR(__xludf.DUMMYFUNCTION("IMPORTRANGE(""https://docs.google.com/spreadsheets/d/1SX6NBoVAgQJ6U1MVXOaj8PK2l7WJ3RER9xtqwdhxkhw/edit?usp=sharing"",""สิงห์บุรี!J421"")"),0)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IFERROR(__xludf.DUMMYFUNCTION("IMPORTRANGE(""https://docs.google.com/spreadsheets/d/1SX6NBoVAgQJ6U1MVXOaj8PK2l7WJ3RER9xtqwdhxkhw/edit?usp=sharing"",""สิงห์บุรี!I422"")"),0)</f>
        <v>0</v>
      </c>
      <c r="J527" s="198">
        <f ca="1">IFERROR(__xludf.DUMMYFUNCTION("IMPORTRANGE(""https://docs.google.com/spreadsheets/d/1SX6NBoVAgQJ6U1MVXOaj8PK2l7WJ3RER9xtqwdhxkhw/edit?usp=sharing"",""สิงห์บุรี!J422"")"),0)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IFERROR(__xludf.DUMMYFUNCTION("IMPORTRANGE(""https://docs.google.com/spreadsheets/d/1SX6NBoVAgQJ6U1MVXOaj8PK2l7WJ3RER9xtqwdhxkhw/edit?usp=sharing"",""สิงห์บุรี!I423"")"),0)</f>
        <v>0</v>
      </c>
      <c r="J528" s="198">
        <f ca="1">IFERROR(__xludf.DUMMYFUNCTION("IMPORTRANGE(""https://docs.google.com/spreadsheets/d/1SX6NBoVAgQJ6U1MVXOaj8PK2l7WJ3RER9xtqwdhxkhw/edit?usp=sharing"",""สิงห์บุรี!J423"")"),0)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IFERROR(__xludf.DUMMYFUNCTION("IMPORTRANGE(""https://docs.google.com/spreadsheets/d/1SX6NBoVAgQJ6U1MVXOaj8PK2l7WJ3RER9xtqwdhxkhw/edit?usp=sharing"",""สิงห์บุรี!I424"")"),0)</f>
        <v>0</v>
      </c>
      <c r="J529" s="198">
        <f ca="1">IFERROR(__xludf.DUMMYFUNCTION("IMPORTRANGE(""https://docs.google.com/spreadsheets/d/1SX6NBoVAgQJ6U1MVXOaj8PK2l7WJ3RER9xtqwdhxkhw/edit?usp=sharing"",""สิงห์บุรี!J424"")"),0)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IFERROR(__xludf.DUMMYFUNCTION("IMPORTRANGE(""https://docs.google.com/spreadsheets/d/1SX6NBoVAgQJ6U1MVXOaj8PK2l7WJ3RER9xtqwdhxkhw/edit?usp=sharing"",""สิงห์บุรี!I425"")"),0)</f>
        <v>0</v>
      </c>
      <c r="J530" s="198">
        <f ca="1">IFERROR(__xludf.DUMMYFUNCTION("IMPORTRANGE(""https://docs.google.com/spreadsheets/d/1SX6NBoVAgQJ6U1MVXOaj8PK2l7WJ3RER9xtqwdhxkhw/edit?usp=sharing"",""สิงห์บุรี!J425"")"),0)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IFERROR(__xludf.DUMMYFUNCTION("IMPORTRANGE(""https://docs.google.com/spreadsheets/d/1SX6NBoVAgQJ6U1MVXOaj8PK2l7WJ3RER9xtqwdhxkhw/edit?usp=sharing"",""สิงห์บุรี!I426"")"),0)</f>
        <v>0</v>
      </c>
      <c r="J531" s="198">
        <f ca="1">IFERROR(__xludf.DUMMYFUNCTION("IMPORTRANGE(""https://docs.google.com/spreadsheets/d/1SX6NBoVAgQJ6U1MVXOaj8PK2l7WJ3RER9xtqwdhxkhw/edit?usp=sharing"",""สิงห์บุรี!J426"")"),0)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IFERROR(__xludf.DUMMYFUNCTION("IMPORTRANGE(""https://docs.google.com/spreadsheets/d/1SX6NBoVAgQJ6U1MVXOaj8PK2l7WJ3RER9xtqwdhxkhw/edit?usp=sharing"",""สิงห์บุรี!L429"")"),0)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IFERROR(__xludf.DUMMYFUNCTION("IMPORTRANGE(""https://docs.google.com/spreadsheets/d/1SX6NBoVAgQJ6U1MVXOaj8PK2l7WJ3RER9xtqwdhxkhw/edit?usp=sharing"",""สิงห์บุรี!M429"")"),0)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IFERROR(__xludf.DUMMYFUNCTION("IMPORTRANGE(""https://docs.google.com/spreadsheets/d/1SX6NBoVAgQJ6U1MVXOaj8PK2l7WJ3RER9xtqwdhxkhw/edit?usp=sharing"",""สิงห์บุรี!L430"")"),24140)</f>
        <v>24140</v>
      </c>
      <c r="M535" s="165"/>
      <c r="N535" s="169">
        <f ca="1">IFERROR(__xludf.DUMMYFUNCTION("IMPORTRANGE(""https://docs.google.com/spreadsheets/d/1SX6NBoVAgQJ6U1MVXOaj8PK2l7WJ3RER9xtqwdhxkhw/edit?usp=sharing"",""สิงห์บุรี!M430"")"),23055)</f>
        <v>23055</v>
      </c>
      <c r="O535" s="169">
        <f t="shared" ca="1" si="118"/>
        <v>95.505385252692619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IFERROR(__xludf.DUMMYFUNCTION("IMPORTRANGE(""https://docs.google.com/spreadsheets/d/1SX6NBoVAgQJ6U1MVXOaj8PK2l7WJ3RER9xtqwdhxkhw/edit?usp=sharing"",""สิงห์บุรี!L431"")"),0)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IFERROR(__xludf.DUMMYFUNCTION("IMPORTRANGE(""https://docs.google.com/spreadsheets/d/1SX6NBoVAgQJ6U1MVXOaj8PK2l7WJ3RER9xtqwdhxkhw/edit?usp=sharing"",""สิงห์บุรี!M431"")"),0)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IFERROR(__xludf.DUMMYFUNCTION("IMPORTRANGE(""https://docs.google.com/spreadsheets/d/1SX6NBoVAgQJ6U1MVXOaj8PK2l7WJ3RER9xtqwdhxkhw/edit?usp=sharing"",""สิงห์บุรี!L432"")"),24140)</f>
        <v>24140</v>
      </c>
      <c r="M537" s="169"/>
      <c r="N537" s="169">
        <f ca="1">IFERROR(__xludf.DUMMYFUNCTION("IMPORTRANGE(""https://docs.google.com/spreadsheets/d/1SX6NBoVAgQJ6U1MVXOaj8PK2l7WJ3RER9xtqwdhxkhw/edit?usp=sharing"",""สิงห์บุรี!M432"")"),23055)</f>
        <v>23055</v>
      </c>
      <c r="O537" s="169">
        <f t="shared" ca="1" si="118"/>
        <v>95.505385252692619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IFERROR(__xludf.DUMMYFUNCTION("IMPORTRANGE(""https://docs.google.com/spreadsheets/d/1SX6NBoVAgQJ6U1MVXOaj8PK2l7WJ3RER9xtqwdhxkhw/edit?usp=sharing"",""สิงห์บุรี!J438"")"),0)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IFERROR(__xludf.DUMMYFUNCTION("IMPORTRANGE(""https://docs.google.com/spreadsheets/d/1SX6NBoVAgQJ6U1MVXOaj8PK2l7WJ3RER9xtqwdhxkhw/edit?usp=sharing"",""สิงห์บุรี!J439"")"),1)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IFERROR(__xludf.DUMMYFUNCTION("IMPORTRANGE(""https://docs.google.com/spreadsheets/d/1SX6NBoVAgQJ6U1MVXOaj8PK2l7WJ3RER9xtqwdhxkhw/edit?usp=sharing"",""สิงห์บุรี!J440"")"),1)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IFERROR(__xludf.DUMMYFUNCTION("IMPORTRANGE(""https://docs.google.com/spreadsheets/d/1SX6NBoVAgQJ6U1MVXOaj8PK2l7WJ3RER9xtqwdhxkhw/edit?usp=sharing"",""สิงห์บุรี!J441"")"),1)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IFERROR(__xludf.DUMMYFUNCTION("IMPORTRANGE(""https://docs.google.com/spreadsheets/d/1SX6NBoVAgQJ6U1MVXOaj8PK2l7WJ3RER9xtqwdhxkhw/edit?usp=sharing"",""สิงห์บุรี!I442"")"),10)</f>
        <v>10</v>
      </c>
      <c r="J547" s="189">
        <f ca="1">IFERROR(__xludf.DUMMYFUNCTION("IMPORTRANGE(""https://docs.google.com/spreadsheets/d/1SX6NBoVAgQJ6U1MVXOaj8PK2l7WJ3RER9xtqwdhxkhw/edit?usp=sharing"",""สิงห์บุรี!J442"")"),10)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IFERROR(__xludf.DUMMYFUNCTION("IMPORTRANGE(""https://docs.google.com/spreadsheets/d/1SX6NBoVAgQJ6U1MVXOaj8PK2l7WJ3RER9xtqwdhxkhw/edit?usp=sharing"",""สิงห์บุรี!J166"")"),0)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IFERROR(__xludf.DUMMYFUNCTION("IMPORTRANGE(""https://docs.google.com/spreadsheets/d/1SX6NBoVAgQJ6U1MVXOaj8PK2l7WJ3RER9xtqwdhxkhw/edit?usp=sharing"",""สิงห์บุรี!J444"")"),0)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IFERROR(__xludf.DUMMYFUNCTION("IMPORTRANGE(""https://docs.google.com/spreadsheets/d/1SX6NBoVAgQJ6U1MVXOaj8PK2l7WJ3RER9xtqwdhxkhw/edit?usp=sharing"",""สิงห์บุรี!L447"")"),0)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IFERROR(__xludf.DUMMYFUNCTION("IMPORTRANGE(""https://docs.google.com/spreadsheets/d/1SX6NBoVAgQJ6U1MVXOaj8PK2l7WJ3RER9xtqwdhxkhw/edit?usp=sharing"",""สิงห์บุรี!M447"")"),0)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IFERROR(__xludf.DUMMYFUNCTION("IMPORTRANGE(""https://docs.google.com/spreadsheets/d/1SX6NBoVAgQJ6U1MVXOaj8PK2l7WJ3RER9xtqwdhxkhw/edit?usp=sharing"",""สิงห์บุรี!L448"")"),0)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IFERROR(__xludf.DUMMYFUNCTION("IMPORTRANGE(""https://docs.google.com/spreadsheets/d/1SX6NBoVAgQJ6U1MVXOaj8PK2l7WJ3RER9xtqwdhxkhw/edit?usp=sharing"",""สิงห์บุรี!M448"")"),0)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IFERROR(__xludf.DUMMYFUNCTION("IMPORTRANGE(""https://docs.google.com/spreadsheets/d/1SX6NBoVAgQJ6U1MVXOaj8PK2l7WJ3RER9xtqwdhxkhw/edit?usp=sharing"",""สิงห์บุรี!L449"")"),0)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IFERROR(__xludf.DUMMYFUNCTION("IMPORTRANGE(""https://docs.google.com/spreadsheets/d/1SX6NBoVAgQJ6U1MVXOaj8PK2l7WJ3RER9xtqwdhxkhw/edit?usp=sharing"",""สิงห์บุรี!M449"")"),0)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IFERROR(__xludf.DUMMYFUNCTION("IMPORTRANGE(""https://docs.google.com/spreadsheets/d/1SX6NBoVAgQJ6U1MVXOaj8PK2l7WJ3RER9xtqwdhxkhw/edit?usp=sharing"",""สิงห์บุรี!L450"")"),0)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IFERROR(__xludf.DUMMYFUNCTION("IMPORTRANGE(""https://docs.google.com/spreadsheets/d/1SX6NBoVAgQJ6U1MVXOaj8PK2l7WJ3RER9xtqwdhxkhw/edit?usp=sharing"",""สิงห์บุรี!M450"")"),0)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IFERROR(__xludf.DUMMYFUNCTION("IMPORTRANGE(""https://docs.google.com/spreadsheets/d/1SX6NBoVAgQJ6U1MVXOaj8PK2l7WJ3RER9xtqwdhxkhw/edit?usp=sharing"",""สิงห์บุรี!M451"")"),0)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IFERROR(__xludf.DUMMYFUNCTION("IMPORTRANGE(""https://docs.google.com/spreadsheets/d/1SX6NBoVAgQJ6U1MVXOaj8PK2l7WJ3RER9xtqwdhxkhw/edit?usp=sharing"",""สิงห์บุรี!M452"")"),0)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IFERROR(__xludf.DUMMYFUNCTION("IMPORTRANGE(""https://docs.google.com/spreadsheets/d/1SX6NBoVAgQJ6U1MVXOaj8PK2l7WJ3RER9xtqwdhxkhw/edit?usp=sharing"",""สิงห์บุรี!M453"")"),0)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IFERROR(__xludf.DUMMYFUNCTION("IMPORTRANGE(""https://docs.google.com/spreadsheets/d/1SX6NBoVAgQJ6U1MVXOaj8PK2l7WJ3RER9xtqwdhxkhw/edit?usp=sharing"",""สิงห์บุรี!M454"")"),0)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IFERROR(__xludf.DUMMYFUNCTION("IMPORTRANGE(""https://docs.google.com/spreadsheets/d/1SX6NBoVAgQJ6U1MVXOaj8PK2l7WJ3RER9xtqwdhxkhw/edit?usp=sharing"",""สิงห์บุรี!I455"")"),0)</f>
        <v>0</v>
      </c>
      <c r="J560" s="162">
        <f ca="1">IFERROR(__xludf.DUMMYFUNCTION("IMPORTRANGE(""https://docs.google.com/spreadsheets/d/1SX6NBoVAgQJ6U1MVXOaj8PK2l7WJ3RER9xtqwdhxkhw/edit?usp=sharing"",""สิงห์บุรี!J455"")"),0)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IFERROR(__xludf.DUMMYFUNCTION("IMPORTRANGE(""https://docs.google.com/spreadsheets/d/1SX6NBoVAgQJ6U1MVXOaj8PK2l7WJ3RER9xtqwdhxkhw/edit?usp=sharing"",""สิงห์บุรี!I456"")"),0)</f>
        <v>0</v>
      </c>
      <c r="J561" s="204">
        <f ca="1">IFERROR(__xludf.DUMMYFUNCTION("IMPORTRANGE(""https://docs.google.com/spreadsheets/d/1SX6NBoVAgQJ6U1MVXOaj8PK2l7WJ3RER9xtqwdhxkhw/edit?usp=sharing"",""สิงห์บุรี!J456"")"),0)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IFERROR(__xludf.DUMMYFUNCTION("IMPORTRANGE(""https://docs.google.com/spreadsheets/d/1SX6NBoVAgQJ6U1MVXOaj8PK2l7WJ3RER9xtqwdhxkhw/edit?usp=sharing"",""สิงห์บุรี!J459"")"),32)</f>
        <v>32</v>
      </c>
      <c r="K564" s="372">
        <f ca="1">IF(I564&gt;0,J564*100/I564,0)</f>
        <v>160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IFERROR(__xludf.DUMMYFUNCTION("IMPORTRANGE(""https://docs.google.com/spreadsheets/d/1SX6NBoVAgQJ6U1MVXOaj8PK2l7WJ3RER9xtqwdhxkhw/edit?usp=sharing"",""สิงห์บุรี!M459"")"),54856.66)</f>
        <v>54856.66</v>
      </c>
      <c r="O564" s="373">
        <f t="shared" ref="O564:O568" ca="1" si="122">+IF(L564&gt;0,N564*100/L564,0)</f>
        <v>46.55181602172437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IFERROR(__xludf.DUMMYFUNCTION("IMPORTRANGE(""https://docs.google.com/spreadsheets/d/1SX6NBoVAgQJ6U1MVXOaj8PK2l7WJ3RER9xtqwdhxkhw/edit?usp=sharing"",""สิงห์บุรี!L460"")"),0)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IFERROR(__xludf.DUMMYFUNCTION("IMPORTRANGE(""https://docs.google.com/spreadsheets/d/1SX6NBoVAgQJ6U1MVXOaj8PK2l7WJ3RER9xtqwdhxkhw/edit?usp=sharing"",""สิงห์บุรี!M460"")"),0)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IFERROR(__xludf.DUMMYFUNCTION("IMPORTRANGE(""https://docs.google.com/spreadsheets/d/1SX6NBoVAgQJ6U1MVXOaj8PK2l7WJ3RER9xtqwdhxkhw/edit?usp=sharing"",""สิงห์บุรี!L461"")"),117840)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IFERROR(__xludf.DUMMYFUNCTION("IMPORTRANGE(""https://docs.google.com/spreadsheets/d/1SX6NBoVAgQJ6U1MVXOaj8PK2l7WJ3RER9xtqwdhxkhw/edit?usp=sharing"",""สิงห์บุรี!M461"")"),54856.66)</f>
        <v>54856.66</v>
      </c>
      <c r="O566" s="169">
        <f t="shared" ca="1" si="122"/>
        <v>46.55181602172437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IFERROR(__xludf.DUMMYFUNCTION("IMPORTRANGE(""https://docs.google.com/spreadsheets/d/1SX6NBoVAgQJ6U1MVXOaj8PK2l7WJ3RER9xtqwdhxkhw/edit?usp=sharing"",""สิงห์บุรี!L462"")"),0)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IFERROR(__xludf.DUMMYFUNCTION("IMPORTRANGE(""https://docs.google.com/spreadsheets/d/1SX6NBoVAgQJ6U1MVXOaj8PK2l7WJ3RER9xtqwdhxkhw/edit?usp=sharing"",""สิงห์บุรี!M462"")"),0)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IFERROR(__xludf.DUMMYFUNCTION("IMPORTRANGE(""https://docs.google.com/spreadsheets/d/1SX6NBoVAgQJ6U1MVXOaj8PK2l7WJ3RER9xtqwdhxkhw/edit?usp=sharing"",""สิงห์บุรี!L463"")"),117840)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IFERROR(__xludf.DUMMYFUNCTION("IMPORTRANGE(""https://docs.google.com/spreadsheets/d/1SX6NBoVAgQJ6U1MVXOaj8PK2l7WJ3RER9xtqwdhxkhw/edit?usp=sharing"",""สิงห์บุรี!M463"")"),54856.66)</f>
        <v>54856.66</v>
      </c>
      <c r="O568" s="169">
        <f t="shared" ca="1" si="122"/>
        <v>46.55181602172437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IFERROR(__xludf.DUMMYFUNCTION("IMPORTRANGE(""https://docs.google.com/spreadsheets/d/1SX6NBoVAgQJ6U1MVXOaj8PK2l7WJ3RER9xtqwdhxkhw/edit?usp=sharing"",""สิงห์บุรี!M464"")"),0)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IFERROR(__xludf.DUMMYFUNCTION("IMPORTRANGE(""https://docs.google.com/spreadsheets/d/1SX6NBoVAgQJ6U1MVXOaj8PK2l7WJ3RER9xtqwdhxkhw/edit?usp=sharing"",""สิงห์บุรี!M465"")"),0)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IFERROR(__xludf.DUMMYFUNCTION("IMPORTRANGE(""https://docs.google.com/spreadsheets/d/1SX6NBoVAgQJ6U1MVXOaj8PK2l7WJ3RER9xtqwdhxkhw/edit?usp=sharing"",""สิงห์บุรี!M466"")"),54266.66)</f>
        <v>54266.66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IFERROR(__xludf.DUMMYFUNCTION("IMPORTRANGE(""https://docs.google.com/spreadsheets/d/1SX6NBoVAgQJ6U1MVXOaj8PK2l7WJ3RER9xtqwdhxkhw/edit?usp=sharing"",""สิงห์บุรี!M467"")"),590)</f>
        <v>590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IFERROR(__xludf.DUMMYFUNCTION("IMPORTRANGE(""https://docs.google.com/spreadsheets/d/1SX6NBoVAgQJ6U1MVXOaj8PK2l7WJ3RER9xtqwdhxkhw/edit?usp=sharing"",""สิงห์บุรี!J468"")"),32)</f>
        <v>32</v>
      </c>
      <c r="K573" s="202">
        <f ca="1">IF(I573&gt;0,J573*100/I573,0)</f>
        <v>160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IFERROR(__xludf.DUMMYFUNCTION("IMPORTRANGE(""https://docs.google.com/spreadsheets/d/1SX6NBoVAgQJ6U1MVXOaj8PK2l7WJ3RER9xtqwdhxkhw/edit?usp=sharing"",""สิงห์บุรี!I470"")"),0)</f>
        <v>0</v>
      </c>
      <c r="J575" s="198">
        <f ca="1">IFERROR(__xludf.DUMMYFUNCTION("IMPORTRANGE(""https://docs.google.com/spreadsheets/d/1SX6NBoVAgQJ6U1MVXOaj8PK2l7WJ3RER9xtqwdhxkhw/edit?usp=sharing"",""สิงห์บุรี!J470"")"),1)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IFERROR(__xludf.DUMMYFUNCTION("IMPORTRANGE(""https://docs.google.com/spreadsheets/d/1SX6NBoVAgQJ6U1MVXOaj8PK2l7WJ3RER9xtqwdhxkhw/edit?usp=sharing"",""สิงห์บุรี!I471"")"),0)</f>
        <v>0</v>
      </c>
      <c r="J576" s="198">
        <f ca="1">IFERROR(__xludf.DUMMYFUNCTION("IMPORTRANGE(""https://docs.google.com/spreadsheets/d/1SX6NBoVAgQJ6U1MVXOaj8PK2l7WJ3RER9xtqwdhxkhw/edit?usp=sharing"",""สิงห์บุรี!J471"")"),5)</f>
        <v>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IFERROR(__xludf.DUMMYFUNCTION("IMPORTRANGE(""https://docs.google.com/spreadsheets/d/1SX6NBoVAgQJ6U1MVXOaj8PK2l7WJ3RER9xtqwdhxkhw/edit?usp=sharing"",""สิงห์บุรี!I472"")"),0)</f>
        <v>0</v>
      </c>
      <c r="J577" s="189">
        <f ca="1">IFERROR(__xludf.DUMMYFUNCTION("IMPORTRANGE(""https://docs.google.com/spreadsheets/d/1SX6NBoVAgQJ6U1MVXOaj8PK2l7WJ3RER9xtqwdhxkhw/edit?usp=sharing"",""สิงห์บุรี!J472"")"),23)</f>
        <v>23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IFERROR(__xludf.DUMMYFUNCTION("IMPORTRANGE(""https://docs.google.com/spreadsheets/d/1SX6NBoVAgQJ6U1MVXOaj8PK2l7WJ3RER9xtqwdhxkhw/edit?usp=sharing"",""สิงห์บุรี!I473"")"),0)</f>
        <v>0</v>
      </c>
      <c r="J578" s="198">
        <f ca="1">IFERROR(__xludf.DUMMYFUNCTION("IMPORTRANGE(""https://docs.google.com/spreadsheets/d/1SX6NBoVAgQJ6U1MVXOaj8PK2l7WJ3RER9xtqwdhxkhw/edit?usp=sharing"",""สิงห์บุรี!J473"")"),0)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IFERROR(__xludf.DUMMYFUNCTION("IMPORTRANGE(""https://docs.google.com/spreadsheets/d/1SX6NBoVAgQJ6U1MVXOaj8PK2l7WJ3RER9xtqwdhxkhw/edit?usp=sharing"",""สิงห์บุรี!I474"")"),0)</f>
        <v>0</v>
      </c>
      <c r="J579" s="198">
        <f ca="1">IFERROR(__xludf.DUMMYFUNCTION("IMPORTRANGE(""https://docs.google.com/spreadsheets/d/1SX6NBoVAgQJ6U1MVXOaj8PK2l7WJ3RER9xtqwdhxkhw/edit?usp=sharing"",""สิงห์บุรี!J474"")"),4)</f>
        <v>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IFERROR(__xludf.DUMMYFUNCTION("IMPORTRANGE(""https://docs.google.com/spreadsheets/d/1SX6NBoVAgQJ6U1MVXOaj8PK2l7WJ3RER9xtqwdhxkhw/edit?usp=sharing"",""สิงห์บุรี!L476"")"),0)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IFERROR(__xludf.DUMMYFUNCTION("IMPORTRANGE(""https://docs.google.com/spreadsheets/d/1SX6NBoVAgQJ6U1MVXOaj8PK2l7WJ3RER9xtqwdhxkhw/edit?usp=sharing"",""สิงห์บุรี!M476"")"),0)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IFERROR(__xludf.DUMMYFUNCTION("IMPORTRANGE(""https://docs.google.com/spreadsheets/d/1SX6NBoVAgQJ6U1MVXOaj8PK2l7WJ3RER9xtqwdhxkhw/edit?usp=sharing"",""สิงห์บุรี!L477"")"),0)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IFERROR(__xludf.DUMMYFUNCTION("IMPORTRANGE(""https://docs.google.com/spreadsheets/d/1SX6NBoVAgQJ6U1MVXOaj8PK2l7WJ3RER9xtqwdhxkhw/edit?usp=sharing"",""สิงห์บุรี!M477"")"),0)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IFERROR(__xludf.DUMMYFUNCTION("IMPORTRANGE(""https://docs.google.com/spreadsheets/d/1SX6NBoVAgQJ6U1MVXOaj8PK2l7WJ3RER9xtqwdhxkhw/edit?usp=sharing"",""สิงห์บุรี!L478"")"),0)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IFERROR(__xludf.DUMMYFUNCTION("IMPORTRANGE(""https://docs.google.com/spreadsheets/d/1SX6NBoVAgQJ6U1MVXOaj8PK2l7WJ3RER9xtqwdhxkhw/edit?usp=sharing"",""สิงห์บุรี!M478"")"),0)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IFERROR(__xludf.DUMMYFUNCTION("IMPORTRANGE(""https://docs.google.com/spreadsheets/d/1SX6NBoVAgQJ6U1MVXOaj8PK2l7WJ3RER9xtqwdhxkhw/edit?usp=sharing"",""สิงห์บุรี!L479"")"),0)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IFERROR(__xludf.DUMMYFUNCTION("IMPORTRANGE(""https://docs.google.com/spreadsheets/d/1SX6NBoVAgQJ6U1MVXOaj8PK2l7WJ3RER9xtqwdhxkhw/edit?usp=sharing"",""สิงห์บุรี!M479"")"),0)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IFERROR(__xludf.DUMMYFUNCTION("IMPORTRANGE(""https://docs.google.com/spreadsheets/d/1SX6NBoVAgQJ6U1MVXOaj8PK2l7WJ3RER9xtqwdhxkhw/edit?usp=sharing"",""สิงห์บุรี!M480"")"),0)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IFERROR(__xludf.DUMMYFUNCTION("IMPORTRANGE(""https://docs.google.com/spreadsheets/d/1SX6NBoVAgQJ6U1MVXOaj8PK2l7WJ3RER9xtqwdhxkhw/edit?usp=sharing"",""สิงห์บุรี!M481"")"),0)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IFERROR(__xludf.DUMMYFUNCTION("IMPORTRANGE(""https://docs.google.com/spreadsheets/d/1SX6NBoVAgQJ6U1MVXOaj8PK2l7WJ3RER9xtqwdhxkhw/edit?usp=sharing"",""สิงห์บุรี!M482"")"),0)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IFERROR(__xludf.DUMMYFUNCTION("IMPORTRANGE(""https://docs.google.com/spreadsheets/d/1SX6NBoVAgQJ6U1MVXOaj8PK2l7WJ3RER9xtqwdhxkhw/edit?usp=sharing"",""สิงห์บุรี!M483"")"),0)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IFERROR(__xludf.DUMMYFUNCTION("IMPORTRANGE(""https://docs.google.com/spreadsheets/d/1SX6NBoVAgQJ6U1MVXOaj8PK2l7WJ3RER9xtqwdhxkhw/edit?usp=sharing"",""สิงห์บุรี!I484"")"),0)</f>
        <v>0</v>
      </c>
      <c r="J589" s="188">
        <f ca="1">IFERROR(__xludf.DUMMYFUNCTION("IMPORTRANGE(""https://docs.google.com/spreadsheets/d/1SX6NBoVAgQJ6U1MVXOaj8PK2l7WJ3RER9xtqwdhxkhw/edit?usp=sharing"",""สิงห์บุรี!J484"")"),0)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8">
        <f ca="1">IFERROR(__xludf.DUMMYFUNCTION("IMPORTRANGE(""https://docs.google.com/spreadsheets/d/1SX6NBoVAgQJ6U1MVXOaj8PK2l7WJ3RER9xtqwdhxkhw/edit?usp=sharing"",""สิงห์บุรี!J485"")"),0)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IFERROR(__xludf.DUMMYFUNCTION("IMPORTRANGE(""https://docs.google.com/spreadsheets/d/1SX6NBoVAgQJ6U1MVXOaj8PK2l7WJ3RER9xtqwdhxkhw/edit?usp=sharing"",""สิงห์บุรี!I486"")"),0)</f>
        <v>0</v>
      </c>
      <c r="J591" s="188">
        <f ca="1">IFERROR(__xludf.DUMMYFUNCTION("IMPORTRANGE(""https://docs.google.com/spreadsheets/d/1SX6NBoVAgQJ6U1MVXOaj8PK2l7WJ3RER9xtqwdhxkhw/edit?usp=sharing"",""สิงห์บุรี!J486"")"),0)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8">
        <f ca="1">IFERROR(__xludf.DUMMYFUNCTION("IMPORTRANGE(""https://docs.google.com/spreadsheets/d/1SX6NBoVAgQJ6U1MVXOaj8PK2l7WJ3RER9xtqwdhxkhw/edit?usp=sharing"",""สิงห์บุรี!J487"")"),0)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IFERROR(__xludf.DUMMYFUNCTION("IMPORTRANGE(""https://docs.google.com/spreadsheets/d/1SX6NBoVAgQJ6U1MVXOaj8PK2l7WJ3RER9xtqwdhxkhw/edit?usp=sharing"",""สิงห์บุรี!I488"")"),0)</f>
        <v>0</v>
      </c>
      <c r="J593" s="188">
        <f ca="1">IFERROR(__xludf.DUMMYFUNCTION("IMPORTRANGE(""https://docs.google.com/spreadsheets/d/1SX6NBoVAgQJ6U1MVXOaj8PK2l7WJ3RER9xtqwdhxkhw/edit?usp=sharing"",""สิงห์บุรี!J488"")"),0)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8">
        <f ca="1">IFERROR(__xludf.DUMMYFUNCTION("IMPORTRANGE(""https://docs.google.com/spreadsheets/d/1SX6NBoVAgQJ6U1MVXOaj8PK2l7WJ3RER9xtqwdhxkhw/edit?usp=sharing"",""สิงห์บุรี!J489"")"),0)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IFERROR(__xludf.DUMMYFUNCTION("IMPORTRANGE(""https://docs.google.com/spreadsheets/d/1SX6NBoVAgQJ6U1MVXOaj8PK2l7WJ3RER9xtqwdhxkhw/edit?usp=sharing"",""สิงห์บุรี!I490"")"),0)</f>
        <v>0</v>
      </c>
      <c r="J595" s="188">
        <f ca="1">IFERROR(__xludf.DUMMYFUNCTION("IMPORTRANGE(""https://docs.google.com/spreadsheets/d/1SX6NBoVAgQJ6U1MVXOaj8PK2l7WJ3RER9xtqwdhxkhw/edit?usp=sharing"",""สิงห์บุรี!J490"")"),0)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IFERROR(__xludf.DUMMYFUNCTION("IMPORTRANGE(""https://docs.google.com/spreadsheets/d/1SX6NBoVAgQJ6U1MVXOaj8PK2l7WJ3RER9xtqwdhxkhw/edit?usp=sharing"",""สิงห์บุรี!I491"")"),0)</f>
        <v>0</v>
      </c>
      <c r="J596" s="242">
        <f ca="1">IFERROR(__xludf.DUMMYFUNCTION("IMPORTRANGE(""https://docs.google.com/spreadsheets/d/1SX6NBoVAgQJ6U1MVXOaj8PK2l7WJ3RER9xtqwdhxkhw/edit?usp=sharing"",""สิงห์บุรี!J491"")"),0)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7">
        <f ca="1">IFERROR(__xludf.DUMMYFUNCTION("IMPORTRANGE(""https://docs.google.com/spreadsheets/d/1SX6NBoVAgQJ6U1MVXOaj8PK2l7WJ3RER9xtqwdhxkhw/edit?usp=sharing"",""สิงห์บุรี!J492"")"),0)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IFERROR(__xludf.DUMMYFUNCTION("IMPORTRANGE(""https://docs.google.com/spreadsheets/d/1SX6NBoVAgQJ6U1MVXOaj8PK2l7WJ3RER9xtqwdhxkhw/edit?usp=sharing"",""สิงห์บุรี!L492"")"),7300)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IFERROR(__xludf.DUMMYFUNCTION("IMPORTRANGE(""https://docs.google.com/spreadsheets/d/1SX6NBoVAgQJ6U1MVXOaj8PK2l7WJ3RER9xtqwdhxkhw/edit?usp=sharing"",""สิงห์บุรี!M492"")"),4300)</f>
        <v>4300</v>
      </c>
      <c r="O597" s="412">
        <f t="shared" ref="O597:O601" ca="1" si="126">+IF(L597&gt;0,N597*100/L597,0)</f>
        <v>58.904109589041099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IFERROR(__xludf.DUMMYFUNCTION("IMPORTRANGE(""https://docs.google.com/spreadsheets/d/1SX6NBoVAgQJ6U1MVXOaj8PK2l7WJ3RER9xtqwdhxkhw/edit?usp=sharing"",""สิงห์บุรี!L493"")"),0)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IFERROR(__xludf.DUMMYFUNCTION("IMPORTRANGE(""https://docs.google.com/spreadsheets/d/1SX6NBoVAgQJ6U1MVXOaj8PK2l7WJ3RER9xtqwdhxkhw/edit?usp=sharing"",""สิงห์บุรี!M493"")"),0)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IFERROR(__xludf.DUMMYFUNCTION("IMPORTRANGE(""https://docs.google.com/spreadsheets/d/1SX6NBoVAgQJ6U1MVXOaj8PK2l7WJ3RER9xtqwdhxkhw/edit?usp=sharing"",""สิงห์บุรี!L494"")"),7300)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IFERROR(__xludf.DUMMYFUNCTION("IMPORTRANGE(""https://docs.google.com/spreadsheets/d/1SX6NBoVAgQJ6U1MVXOaj8PK2l7WJ3RER9xtqwdhxkhw/edit?usp=sharing"",""สิงห์บุรี!M494"")"),4300)</f>
        <v>4300</v>
      </c>
      <c r="O599" s="169">
        <f t="shared" ca="1" si="126"/>
        <v>58.904109589041099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IFERROR(__xludf.DUMMYFUNCTION("IMPORTRANGE(""https://docs.google.com/spreadsheets/d/1SX6NBoVAgQJ6U1MVXOaj8PK2l7WJ3RER9xtqwdhxkhw/edit?usp=sharing"",""สิงห์บุรี!L495"")"),0)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IFERROR(__xludf.DUMMYFUNCTION("IMPORTRANGE(""https://docs.google.com/spreadsheets/d/1SX6NBoVAgQJ6U1MVXOaj8PK2l7WJ3RER9xtqwdhxkhw/edit?usp=sharing"",""สิงห์บุรี!M495"")"),0)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IFERROR(__xludf.DUMMYFUNCTION("IMPORTRANGE(""https://docs.google.com/spreadsheets/d/1SX6NBoVAgQJ6U1MVXOaj8PK2l7WJ3RER9xtqwdhxkhw/edit?usp=sharing"",""สิงห์บุรี!L496"")"),7300)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IFERROR(__xludf.DUMMYFUNCTION("IMPORTRANGE(""https://docs.google.com/spreadsheets/d/1SX6NBoVAgQJ6U1MVXOaj8PK2l7WJ3RER9xtqwdhxkhw/edit?usp=sharing"",""สิงห์บุรี!M496"")"),4300)</f>
        <v>4300</v>
      </c>
      <c r="O601" s="169">
        <f t="shared" ca="1" si="126"/>
        <v>58.904109589041099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IFERROR(__xludf.DUMMYFUNCTION("IMPORTRANGE(""https://docs.google.com/spreadsheets/d/1SX6NBoVAgQJ6U1MVXOaj8PK2l7WJ3RER9xtqwdhxkhw/edit?usp=sharing"",""สิงห์บุรี!M497"")"),0)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IFERROR(__xludf.DUMMYFUNCTION("IMPORTRANGE(""https://docs.google.com/spreadsheets/d/1SX6NBoVAgQJ6U1MVXOaj8PK2l7WJ3RER9xtqwdhxkhw/edit?usp=sharing"",""สิงห์บุรี!M498"")"),0)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IFERROR(__xludf.DUMMYFUNCTION("IMPORTRANGE(""https://docs.google.com/spreadsheets/d/1SX6NBoVAgQJ6U1MVXOaj8PK2l7WJ3RER9xtqwdhxkhw/edit?usp=sharing"",""สิงห์บุรี!M500"")"),4300)</f>
        <v>4300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IFERROR(__xludf.DUMMYFUNCTION("IMPORTRANGE(""https://docs.google.com/spreadsheets/d/1SX6NBoVAgQJ6U1MVXOaj8PK2l7WJ3RER9xtqwdhxkhw/edit?usp=sharing"",""สิงห์บุรี!J502"")"),0)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IFERROR(__xludf.DUMMYFUNCTION("IMPORTRANGE(""https://docs.google.com/spreadsheets/d/1SX6NBoVAgQJ6U1MVXOaj8PK2l7WJ3RER9xtqwdhxkhw/edit?usp=sharing"",""สิงห์บุรี!J503"")"),1)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IFERROR(__xludf.DUMMYFUNCTION("IMPORTRANGE(""https://docs.google.com/spreadsheets/d/1SX6NBoVAgQJ6U1MVXOaj8PK2l7WJ3RER9xtqwdhxkhw/edit?usp=sharing"",""สิงห์บุรี!J166"")"),0)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IFERROR(__xludf.DUMMYFUNCTION("IMPORTRANGE(""https://docs.google.com/spreadsheets/d/1SX6NBoVAgQJ6U1MVXOaj8PK2l7WJ3RER9xtqwdhxkhw/edit?usp=sharing"",""สิงห์บุรี!J166"")"),0)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IFERROR(__xludf.DUMMYFUNCTION("IMPORTRANGE(""https://docs.google.com/spreadsheets/d/1SX6NBoVAgQJ6U1MVXOaj8PK2l7WJ3RER9xtqwdhxkhw/edit?usp=sharing"",""สิงห์บุรี!I506"")"),100)</f>
        <v>100</v>
      </c>
      <c r="J611" s="162">
        <f ca="1">IFERROR(__xludf.DUMMYFUNCTION("IMPORTRANGE(""https://docs.google.com/spreadsheets/d/1SX6NBoVAgQJ6U1MVXOaj8PK2l7WJ3RER9xtqwdhxkhw/edit?usp=sharing"",""สิงห์บุรี!J506"")"),0)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IFERROR(__xludf.DUMMYFUNCTION("IMPORTRANGE(""https://docs.google.com/spreadsheets/d/1SX6NBoVAgQJ6U1MVXOaj8PK2l7WJ3RER9xtqwdhxkhw/edit?usp=sharing"",""สิงห์บุรี!I507"")"),0)</f>
        <v>0</v>
      </c>
      <c r="J612" s="198">
        <f ca="1">IFERROR(__xludf.DUMMYFUNCTION("IMPORTRANGE(""https://docs.google.com/spreadsheets/d/1SX6NBoVAgQJ6U1MVXOaj8PK2l7WJ3RER9xtqwdhxkhw/edit?usp=sharing"",""สิงห์บุรี!J507"")"),200)</f>
        <v>200</v>
      </c>
      <c r="K612" s="163">
        <f t="shared" ca="1" si="127"/>
        <v>200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IFERROR(__xludf.DUMMYFUNCTION("IMPORTRANGE(""https://docs.google.com/spreadsheets/d/1SX6NBoVAgQJ6U1MVXOaj8PK2l7WJ3RER9xtqwdhxkhw/edit?usp=sharing"",""สิงห์บุรี!I508"")"),0)</f>
        <v>0</v>
      </c>
      <c r="J613" s="198">
        <f ca="1">IFERROR(__xludf.DUMMYFUNCTION("IMPORTRANGE(""https://docs.google.com/spreadsheets/d/1SX6NBoVAgQJ6U1MVXOaj8PK2l7WJ3RER9xtqwdhxkhw/edit?usp=sharing"",""สิงห์บุรี!J508"")"),200)</f>
        <v>200</v>
      </c>
      <c r="K613" s="163">
        <f t="shared" ca="1" si="127"/>
        <v>200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IFERROR(__xludf.DUMMYFUNCTION("IMPORTRANGE(""https://docs.google.com/spreadsheets/d/1SX6NBoVAgQJ6U1MVXOaj8PK2l7WJ3RER9xtqwdhxkhw/edit?usp=sharing"",""สิงห์บุรี!I509"")"),0)</f>
        <v>0</v>
      </c>
      <c r="J614" s="198">
        <f ca="1">IFERROR(__xludf.DUMMYFUNCTION("IMPORTRANGE(""https://docs.google.com/spreadsheets/d/1SX6NBoVAgQJ6U1MVXOaj8PK2l7WJ3RER9xtqwdhxkhw/edit?usp=sharing"",""สิงห์บุรี!J509"")"),200)</f>
        <v>200</v>
      </c>
      <c r="K614" s="163">
        <f t="shared" ca="1" si="127"/>
        <v>200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IFERROR(__xludf.DUMMYFUNCTION("IMPORTRANGE(""https://docs.google.com/spreadsheets/d/1SX6NBoVAgQJ6U1MVXOaj8PK2l7WJ3RER9xtqwdhxkhw/edit?usp=sharing"",""สิงห์บุรี!I510"")"),0)</f>
        <v>0</v>
      </c>
      <c r="J615" s="198">
        <f ca="1">IFERROR(__xludf.DUMMYFUNCTION("IMPORTRANGE(""https://docs.google.com/spreadsheets/d/1SX6NBoVAgQJ6U1MVXOaj8PK2l7WJ3RER9xtqwdhxkhw/edit?usp=sharing"",""สิงห์บุรี!J510"")"),200)</f>
        <v>200</v>
      </c>
      <c r="K615" s="163">
        <f t="shared" ca="1" si="127"/>
        <v>200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IFERROR(__xludf.DUMMYFUNCTION("IMPORTRANGE(""https://docs.google.com/spreadsheets/d/1SX6NBoVAgQJ6U1MVXOaj8PK2l7WJ3RER9xtqwdhxkhw/edit?usp=sharing"",""สิงห์บุรี!I511"")"),0)</f>
        <v>0</v>
      </c>
      <c r="J616" s="198">
        <f ca="1">IFERROR(__xludf.DUMMYFUNCTION("IMPORTRANGE(""https://docs.google.com/spreadsheets/d/1SX6NBoVAgQJ6U1MVXOaj8PK2l7WJ3RER9xtqwdhxkhw/edit?usp=sharing"",""สิงห์บุรี!J511"")"),77)</f>
        <v>77</v>
      </c>
      <c r="K616" s="163">
        <f t="shared" ca="1" si="127"/>
        <v>77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IFERROR(__xludf.DUMMYFUNCTION("IMPORTRANGE(""https://docs.google.com/spreadsheets/d/1SX6NBoVAgQJ6U1MVXOaj8PK2l7WJ3RER9xtqwdhxkhw/edit?usp=sharing"",""สิงห์บุรี!I512"")"),0)</f>
        <v>0</v>
      </c>
      <c r="J617" s="188">
        <f ca="1">IFERROR(__xludf.DUMMYFUNCTION("IMPORTRANGE(""https://docs.google.com/spreadsheets/d/1SX6NBoVAgQJ6U1MVXOaj8PK2l7WJ3RER9xtqwdhxkhw/edit?usp=sharing"",""สิงห์บุรี!J512"")"),0)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IFERROR(__xludf.DUMMYFUNCTION("IMPORTRANGE(""https://docs.google.com/spreadsheets/d/1SX6NBoVAgQJ6U1MVXOaj8PK2l7WJ3RER9xtqwdhxkhw/edit?usp=sharing"",""สิงห์บุรี!I513"")"),0)</f>
        <v>0</v>
      </c>
      <c r="J618" s="189">
        <f ca="1">IFERROR(__xludf.DUMMYFUNCTION("IMPORTRANGE(""https://docs.google.com/spreadsheets/d/1SX6NBoVAgQJ6U1MVXOaj8PK2l7WJ3RER9xtqwdhxkhw/edit?usp=sharing"",""สิงห์บุรี!J513"")"),0)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IFERROR(__xludf.DUMMYFUNCTION("IMPORTRANGE(""https://docs.google.com/spreadsheets/d/1SX6NBoVAgQJ6U1MVXOaj8PK2l7WJ3RER9xtqwdhxkhw/edit?usp=sharing"",""สิงห์บุรี!I514"")"),0)</f>
        <v>0</v>
      </c>
      <c r="J619" s="189">
        <f ca="1">IFERROR(__xludf.DUMMYFUNCTION("IMPORTRANGE(""https://docs.google.com/spreadsheets/d/1SX6NBoVAgQJ6U1MVXOaj8PK2l7WJ3RER9xtqwdhxkhw/edit?usp=sharing"",""สิงห์บุรี!J514"")"),0)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IFERROR(__xludf.DUMMYFUNCTION("IMPORTRANGE(""https://docs.google.com/spreadsheets/d/1SX6NBoVAgQJ6U1MVXOaj8PK2l7WJ3RER9xtqwdhxkhw/edit?usp=sharing"",""สิงห์บุรี!I515"")"),925)</f>
        <v>925</v>
      </c>
      <c r="J620" s="203">
        <f ca="1">IFERROR(__xludf.DUMMYFUNCTION("IMPORTRANGE(""https://docs.google.com/spreadsheets/d/1SX6NBoVAgQJ6U1MVXOaj8PK2l7WJ3RER9xtqwdhxkhw/edit?usp=sharing"",""สิงห์บุรี!J515"")"),0)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IFERROR(__xludf.DUMMYFUNCTION("IMPORTRANGE(""https://docs.google.com/spreadsheets/d/1SX6NBoVAgQJ6U1MVXOaj8PK2l7WJ3RER9xtqwdhxkhw/edit?usp=sharing"",""สิงห์บุรี!I516"")"),0)</f>
        <v>0</v>
      </c>
      <c r="J621" s="203">
        <f ca="1">IFERROR(__xludf.DUMMYFUNCTION("IMPORTRANGE(""https://docs.google.com/spreadsheets/d/1SX6NBoVAgQJ6U1MVXOaj8PK2l7WJ3RER9xtqwdhxkhw/edit?usp=sharing"",""สิงห์บุรี!J516"")"),0)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IFERROR(__xludf.DUMMYFUNCTION("IMPORTRANGE(""https://docs.google.com/spreadsheets/d/1SX6NBoVAgQJ6U1MVXOaj8PK2l7WJ3RER9xtqwdhxkhw/edit?usp=sharing"",""สิงห์บุรี!I517"")"),0)</f>
        <v>0</v>
      </c>
      <c r="J622" s="189">
        <f ca="1">IFERROR(__xludf.DUMMYFUNCTION("IMPORTRANGE(""https://docs.google.com/spreadsheets/d/1SX6NBoVAgQJ6U1MVXOaj8PK2l7WJ3RER9xtqwdhxkhw/edit?usp=sharing"",""สิงห์บุรี!J517"")"),0)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IFERROR(__xludf.DUMMYFUNCTION("IMPORTRANGE(""https://docs.google.com/spreadsheets/d/1SX6NBoVAgQJ6U1MVXOaj8PK2l7WJ3RER9xtqwdhxkhw/edit?usp=sharing"",""สิงห์บุรี!I518"")"),0)</f>
        <v>0</v>
      </c>
      <c r="J623" s="189">
        <f ca="1">IFERROR(__xludf.DUMMYFUNCTION("IMPORTRANGE(""https://docs.google.com/spreadsheets/d/1SX6NBoVAgQJ6U1MVXOaj8PK2l7WJ3RER9xtqwdhxkhw/edit?usp=sharing"",""สิงห์บุรี!J518"")"),0)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IFERROR(__xludf.DUMMYFUNCTION("IMPORTRANGE(""https://docs.google.com/spreadsheets/d/1SX6NBoVAgQJ6U1MVXOaj8PK2l7WJ3RER9xtqwdhxkhw/edit?usp=sharing"",""สิงห์บุรี!I519"")"),0)</f>
        <v>0</v>
      </c>
      <c r="J624" s="188">
        <f ca="1">IFERROR(__xludf.DUMMYFUNCTION("IMPORTRANGE(""https://docs.google.com/spreadsheets/d/1SX6NBoVAgQJ6U1MVXOaj8PK2l7WJ3RER9xtqwdhxkhw/edit?usp=sharing"",""สิงห์บุรี!J519"")"),0)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IFERROR(__xludf.DUMMYFUNCTION("IMPORTRANGE(""https://docs.google.com/spreadsheets/d/1SX6NBoVAgQJ6U1MVXOaj8PK2l7WJ3RER9xtqwdhxkhw/edit?usp=sharing"",""สิงห์บุรี!I520"")"),0)</f>
        <v>0</v>
      </c>
      <c r="J625" s="189">
        <f ca="1">IFERROR(__xludf.DUMMYFUNCTION("IMPORTRANGE(""https://docs.google.com/spreadsheets/d/1SX6NBoVAgQJ6U1MVXOaj8PK2l7WJ3RER9xtqwdhxkhw/edit?usp=sharing"",""สิงห์บุรี!J520"")"),0)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IFERROR(__xludf.DUMMYFUNCTION("IMPORTRANGE(""https://docs.google.com/spreadsheets/d/1SX6NBoVAgQJ6U1MVXOaj8PK2l7WJ3RER9xtqwdhxkhw/edit?usp=sharing"",""สิงห์บุรี!I521"")"),0)</f>
        <v>0</v>
      </c>
      <c r="J626" s="189">
        <f ca="1">IFERROR(__xludf.DUMMYFUNCTION("IMPORTRANGE(""https://docs.google.com/spreadsheets/d/1SX6NBoVAgQJ6U1MVXOaj8PK2l7WJ3RER9xtqwdhxkhw/edit?usp=sharing"",""สิงห์บุรี!J521"")"),0)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IFERROR(__xludf.DUMMYFUNCTION("IMPORTRANGE(""https://docs.google.com/spreadsheets/d/1SX6NBoVAgQJ6U1MVXOaj8PK2l7WJ3RER9xtqwdhxkhw/edit?usp=sharing"",""สิงห์บุรี!I523"")"),520000)</f>
        <v>520000</v>
      </c>
      <c r="J628" s="342">
        <f ca="1">IFERROR(__xludf.DUMMYFUNCTION("IMPORTRANGE(""https://docs.google.com/spreadsheets/d/1SX6NBoVAgQJ6U1MVXOaj8PK2l7WJ3RER9xtqwdhxkhw/edit?usp=sharing"",""สิงห์บุรี!J523"")"),520000)</f>
        <v>520000</v>
      </c>
      <c r="K628" s="343">
        <f t="shared" ref="K628:K635" ca="1" si="129">IF(I628&gt;0,J628*100/I628,0)</f>
        <v>100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IFERROR(__xludf.DUMMYFUNCTION("IMPORTRANGE(""https://docs.google.com/spreadsheets/d/1SX6NBoVAgQJ6U1MVXOaj8PK2l7WJ3RER9xtqwdhxkhw/edit?usp=sharing"",""สิงห์บุรี!I524"")"),18)</f>
        <v>18</v>
      </c>
      <c r="J629" s="342">
        <f ca="1">IFERROR(__xludf.DUMMYFUNCTION("IMPORTRANGE(""https://docs.google.com/spreadsheets/d/1SX6NBoVAgQJ6U1MVXOaj8PK2l7WJ3RER9xtqwdhxkhw/edit?usp=sharing"",""สิงห์บุรี!J524"")"),18)</f>
        <v>18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IFERROR(__xludf.DUMMYFUNCTION("IMPORTRANGE(""https://docs.google.com/spreadsheets/d/1SX6NBoVAgQJ6U1MVXOaj8PK2l7WJ3RER9xtqwdhxkhw/edit?usp=sharing"",""สิงห์บุรี!I525"")"),0)</f>
        <v>0</v>
      </c>
      <c r="J630" s="342">
        <f ca="1">IFERROR(__xludf.DUMMYFUNCTION("IMPORTRANGE(""https://docs.google.com/spreadsheets/d/1SX6NBoVAgQJ6U1MVXOaj8PK2l7WJ3RER9xtqwdhxkhw/edit?usp=sharing"",""สิงห์บุรี!J525"")"),0)</f>
        <v>0</v>
      </c>
      <c r="K630" s="343">
        <f t="shared" ca="1" si="129"/>
        <v>0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IFERROR(__xludf.DUMMYFUNCTION("IMPORTRANGE(""https://docs.google.com/spreadsheets/d/1SX6NBoVAgQJ6U1MVXOaj8PK2l7WJ3RER9xtqwdhxkhw/edit?usp=sharing"",""สิงห์บุรี!I526"")"),0)</f>
        <v>0</v>
      </c>
      <c r="J631" s="342">
        <f ca="1">IFERROR(__xludf.DUMMYFUNCTION("IMPORTRANGE(""https://docs.google.com/spreadsheets/d/1SX6NBoVAgQJ6U1MVXOaj8PK2l7WJ3RER9xtqwdhxkhw/edit?usp=sharing"",""สิงห์บุรี!J526"")"),0)</f>
        <v>0</v>
      </c>
      <c r="K631" s="343">
        <f t="shared" ca="1" si="129"/>
        <v>0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2">
        <f ca="1">IFERROR(__xludf.DUMMYFUNCTION("IMPORTRANGE(""https://docs.google.com/spreadsheets/d/1SX6NBoVAgQJ6U1MVXOaj8PK2l7WJ3RER9xtqwdhxkhw/edit?usp=sharing"",""สิงห์บุรี!J527"")"),52036.72)</f>
        <v>52036.72</v>
      </c>
      <c r="K632" s="343">
        <f t="shared" ca="1" si="129"/>
        <v>74.944202367861834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IFERROR(__xludf.DUMMYFUNCTION("IMPORTRANGE(""https://docs.google.com/spreadsheets/d/1SX6NBoVAgQJ6U1MVXOaj8PK2l7WJ3RER9xtqwdhxkhw/edit?usp=sharing"",""สิงห์บุรี!I528"")"),25)</f>
        <v>25</v>
      </c>
      <c r="J633" s="342">
        <f ca="1">IFERROR(__xludf.DUMMYFUNCTION("IMPORTRANGE(""https://docs.google.com/spreadsheets/d/1SX6NBoVAgQJ6U1MVXOaj8PK2l7WJ3RER9xtqwdhxkhw/edit?usp=sharing"",""สิงห์บุรี!J528"")"),20)</f>
        <v>20</v>
      </c>
      <c r="K633" s="343">
        <f t="shared" ca="1" si="129"/>
        <v>80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IFERROR(__xludf.DUMMYFUNCTION("IMPORTRANGE(""https://docs.google.com/spreadsheets/d/1SX6NBoVAgQJ6U1MVXOaj8PK2l7WJ3RER9xtqwdhxkhw/edit?usp=sharing"",""สิงห์บุรี!I529"")"),520000)</f>
        <v>520000</v>
      </c>
      <c r="J634" s="342">
        <f ca="1">IFERROR(__xludf.DUMMYFUNCTION("IMPORTRANGE(""https://docs.google.com/spreadsheets/d/1SX6NBoVAgQJ6U1MVXOaj8PK2l7WJ3RER9xtqwdhxkhw/edit?usp=sharing"",""สิงห์บุรี!J529"")"),520000)</f>
        <v>520000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IFERROR(__xludf.DUMMYFUNCTION("IMPORTRANGE(""https://docs.google.com/spreadsheets/d/1SX6NBoVAgQJ6U1MVXOaj8PK2l7WJ3RER9xtqwdhxkhw/edit?usp=sharing"",""สิงห์บุรี!I530"")"),19)</f>
        <v>19</v>
      </c>
      <c r="J635" s="504">
        <f ca="1">IFERROR(__xludf.DUMMYFUNCTION("IMPORTRANGE(""https://docs.google.com/spreadsheets/d/1SX6NBoVAgQJ6U1MVXOaj8PK2l7WJ3RER9xtqwdhxkhw/edit?usp=sharing"",""สิงห์บุรี!J530"")"),17)</f>
        <v>17</v>
      </c>
      <c r="K635" s="486">
        <f t="shared" ca="1" si="129"/>
        <v>89.473684210526315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3000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3000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3000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IFERROR(__xludf.DUMMYFUNCTION("IMPORTRANGE(""https://docs.google.com/spreadsheets/d/1SX6NBoVAgQJ6U1MVXOaj8PK2l7WJ3RER9xtqwdhxkhw/edit#gid=346597447"",""สิงห์บุรี!J541"")"),0)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IFERROR(__xludf.DUMMYFUNCTION("IMPORTRANGE(""https://docs.google.com/spreadsheets/d/1SX6NBoVAgQJ6U1MVXOaj8PK2l7WJ3RER9xtqwdhxkhw/edit#gid=346597447"",""สิงห์บุรี!J542"")"),0)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IFERROR(__xludf.DUMMYFUNCTION("IMPORTRANGE(""https://docs.google.com/spreadsheets/d/1SX6NBoVAgQJ6U1MVXOaj8PK2l7WJ3RER9xtqwdhxkhw/edit#gid=346597447"",""สิงห์บุรี!I543"")"),0)</f>
        <v>0</v>
      </c>
      <c r="J648" s="536">
        <f ca="1">IFERROR(__xludf.DUMMYFUNCTION("IMPORTRANGE(""https://docs.google.com/spreadsheets/d/1SX6NBoVAgQJ6U1MVXOaj8PK2l7WJ3RER9xtqwdhxkhw/edit#gid=346597447"",""สิงห์บุรี!J543"")"),0)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IFERROR(__xludf.DUMMYFUNCTION("IMPORTRANGE(""https://docs.google.com/spreadsheets/d/1SX6NBoVAgQJ6U1MVXOaj8PK2l7WJ3RER9xtqwdhxkhw/edit#gid=346597447"",""สิงห์บุรี!L543"")"),0)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IFERROR(__xludf.DUMMYFUNCTION("IMPORTRANGE(""https://docs.google.com/spreadsheets/d/1SX6NBoVAgQJ6U1MVXOaj8PK2l7WJ3RER9xtqwdhxkhw/edit#gid=346597447"",""สิงห์บุรี!M543"")"),0)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IFERROR(__xludf.DUMMYFUNCTION("IMPORTRANGE(""https://docs.google.com/spreadsheets/d/1SX6NBoVAgQJ6U1MVXOaj8PK2l7WJ3RER9xtqwdhxkhw/edit#gid=346597447"",""สิงห์บุรี!I544"")"),0)</f>
        <v>0</v>
      </c>
      <c r="J649" s="536">
        <f ca="1">IFERROR(__xludf.DUMMYFUNCTION("IMPORTRANGE(""https://docs.google.com/spreadsheets/d/1SX6NBoVAgQJ6U1MVXOaj8PK2l7WJ3RER9xtqwdhxkhw/edit#gid=346597447"",""สิงห์บุรี!J544"")"),0)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IFERROR(__xludf.DUMMYFUNCTION("IMPORTRANGE(""https://docs.google.com/spreadsheets/d/1SX6NBoVAgQJ6U1MVXOaj8PK2l7WJ3RER9xtqwdhxkhw/edit#gid=346597447"",""สิงห์บุรี!L544"")"),0)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IFERROR(__xludf.DUMMYFUNCTION("IMPORTRANGE(""https://docs.google.com/spreadsheets/d/1SX6NBoVAgQJ6U1MVXOaj8PK2l7WJ3RER9xtqwdhxkhw/edit#gid=346597447"",""สิงห์บุรี!M544"")"),0)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IFERROR(__xludf.DUMMYFUNCTION("IMPORTRANGE(""https://docs.google.com/spreadsheets/d/1SX6NBoVAgQJ6U1MVXOaj8PK2l7WJ3RER9xtqwdhxkhw/edit#gid=346597447"",""สิงห์บุรี!I545"")"),0)</f>
        <v>0</v>
      </c>
      <c r="J650" s="536">
        <f ca="1">IFERROR(__xludf.DUMMYFUNCTION("IMPORTRANGE(""https://docs.google.com/spreadsheets/d/1SX6NBoVAgQJ6U1MVXOaj8PK2l7WJ3RER9xtqwdhxkhw/edit#gid=346597447"",""สิงห์บุรี!J545"")"),0)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IFERROR(__xludf.DUMMYFUNCTION("IMPORTRANGE(""https://docs.google.com/spreadsheets/d/1SX6NBoVAgQJ6U1MVXOaj8PK2l7WJ3RER9xtqwdhxkhw/edit#gid=346597447"",""สิงห์บุรี!L545"")"),0)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IFERROR(__xludf.DUMMYFUNCTION("IMPORTRANGE(""https://docs.google.com/spreadsheets/d/1SX6NBoVAgQJ6U1MVXOaj8PK2l7WJ3RER9xtqwdhxkhw/edit#gid=346597447"",""สิงห์บุรี!M545"")"),0)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IFERROR(__xludf.DUMMYFUNCTION("IMPORTRANGE(""https://docs.google.com/spreadsheets/d/1SX6NBoVAgQJ6U1MVXOaj8PK2l7WJ3RER9xtqwdhxkhw/edit#gid=346597447"",""สิงห์บุรี!I546"")"),0)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IFERROR(__xludf.DUMMYFUNCTION("IMPORTRANGE(""https://docs.google.com/spreadsheets/d/1SX6NBoVAgQJ6U1MVXOaj8PK2l7WJ3RER9xtqwdhxkhw/edit#gid=346597447"",""สิงห์บุรี!L546"")"),0)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IFERROR(__xludf.DUMMYFUNCTION("IMPORTRANGE(""https://docs.google.com/spreadsheets/d/1SX6NBoVAgQJ6U1MVXOaj8PK2l7WJ3RER9xtqwdhxkhw/edit#gid=346597447"",""สิงห์บุรี!M546"")"),0)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IFERROR(__xludf.DUMMYFUNCTION("IMPORTRANGE(""https://docs.google.com/spreadsheets/d/1SX6NBoVAgQJ6U1MVXOaj8PK2l7WJ3RER9xtqwdhxkhw/edit#gid=346597447"",""สิงห์บุรี!J547"")"),0)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IFERROR(__xludf.DUMMYFUNCTION("IMPORTRANGE(""https://docs.google.com/spreadsheets/d/1SX6NBoVAgQJ6U1MVXOaj8PK2l7WJ3RER9xtqwdhxkhw/edit#gid=346597447"",""สิงห์บุรี!J548"")"),0)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IFERROR(__xludf.DUMMYFUNCTION("IMPORTRANGE(""https://docs.google.com/spreadsheets/d/1SX6NBoVAgQJ6U1MVXOaj8PK2l7WJ3RER9xtqwdhxkhw/edit#gid=346597447"",""สิงห์บุรี!J550"")"),0)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IFERROR(__xludf.DUMMYFUNCTION("IMPORTRANGE(""https://docs.google.com/spreadsheets/d/1SX6NBoVAgQJ6U1MVXOaj8PK2l7WJ3RER9xtqwdhxkhw/edit#gid=346597447"",""สิงห์บุรี!J551"")"),0)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IFERROR(__xludf.DUMMYFUNCTION("IMPORTRANGE(""https://docs.google.com/spreadsheets/d/1SX6NBoVAgQJ6U1MVXOaj8PK2l7WJ3RER9xtqwdhxkhw/edit#gid=346597447"",""สิงห์บุรี!J552"")"),0)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IFERROR(__xludf.DUMMYFUNCTION("IMPORTRANGE(""https://docs.google.com/spreadsheets/d/1SX6NBoVAgQJ6U1MVXOaj8PK2l7WJ3RER9xtqwdhxkhw/edit#gid=346597447"",""สิงห์บุรี!J553"")"),0)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IFERROR(__xludf.DUMMYFUNCTION("IMPORTRANGE(""https://docs.google.com/spreadsheets/d/1SX6NBoVAgQJ6U1MVXOaj8PK2l7WJ3RER9xtqwdhxkhw/edit#gid=346597447"",""สิงห์บุรี!J554"")"),0)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IFERROR(__xludf.DUMMYFUNCTION("IMPORTRANGE(""https://docs.google.com/spreadsheets/d/1SX6NBoVAgQJ6U1MVXOaj8PK2l7WJ3RER9xtqwdhxkhw/edit#gid=346597447"",""สิงห์บุรี!J555"")"),0)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IFERROR(__xludf.DUMMYFUNCTION("IMPORTRANGE(""https://docs.google.com/spreadsheets/d/1SX6NBoVAgQJ6U1MVXOaj8PK2l7WJ3RER9xtqwdhxkhw/edit#gid=346597447"",""สิงห์บุรี!J556"")"),0)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IFERROR(__xludf.DUMMYFUNCTION("IMPORTRANGE(""https://docs.google.com/spreadsheets/d/1SX6NBoVAgQJ6U1MVXOaj8PK2l7WJ3RER9xtqwdhxkhw/edit#gid=346597447"",""สิงห์บุรี!L556"")"),2880)</f>
        <v>2880</v>
      </c>
      <c r="M661" s="521"/>
      <c r="N661" s="538">
        <f ca="1">IFERROR(__xludf.DUMMYFUNCTION("IMPORTRANGE(""https://docs.google.com/spreadsheets/d/1SX6NBoVAgQJ6U1MVXOaj8PK2l7WJ3RER9xtqwdhxkhw/edit#gid=346597447"",""สิงห์บุรี!M556"")"),0)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IFERROR(__xludf.DUMMYFUNCTION("IMPORTRANGE(""https://docs.google.com/spreadsheets/d/1SX6NBoVAgQJ6U1MVXOaj8PK2l7WJ3RER9xtqwdhxkhw/edit#gid=346597447"",""สิงห์บุรี!J557"")"),0)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IFERROR(__xludf.DUMMYFUNCTION("IMPORTRANGE(""https://docs.google.com/spreadsheets/d/1SX6NBoVAgQJ6U1MVXOaj8PK2l7WJ3RER9xtqwdhxkhw/edit#gid=346597447"",""สิงห์บุรี!I558"")"),72)</f>
        <v>72</v>
      </c>
      <c r="J663" s="536">
        <f ca="1">IFERROR(__xludf.DUMMYFUNCTION("IMPORTRANGE(""https://docs.google.com/spreadsheets/d/1SX6NBoVAgQJ6U1MVXOaj8PK2l7WJ3RER9xtqwdhxkhw/edit#gid=346597447"",""สิงห์บุรี!J558"")"),0)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IFERROR(__xludf.DUMMYFUNCTION("IMPORTRANGE(""https://docs.google.com/spreadsheets/d/1SX6NBoVAgQJ6U1MVXOaj8PK2l7WJ3RER9xtqwdhxkhw/edit#gid=346597447"",""สิงห์บุรี!I560"")"),1)</f>
        <v>1</v>
      </c>
      <c r="J665" s="536">
        <f ca="1">IFERROR(__xludf.DUMMYFUNCTION("IMPORTRANGE(""https://docs.google.com/spreadsheets/d/1SX6NBoVAgQJ6U1MVXOaj8PK2l7WJ3RER9xtqwdhxkhw/edit#gid=346597447"",""สิงห์บุรี!J560"")"),0)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IFERROR(__xludf.DUMMYFUNCTION("IMPORTRANGE(""https://docs.google.com/spreadsheets/d/1SX6NBoVAgQJ6U1MVXOaj8PK2l7WJ3RER9xtqwdhxkhw/edit#gid=346597447"",""สิงห์บุรี!L560"")"),120)</f>
        <v>120</v>
      </c>
      <c r="M665" s="521"/>
      <c r="N665" s="538">
        <f ca="1">IFERROR(__xludf.DUMMYFUNCTION("IMPORTRANGE(""https://docs.google.com/spreadsheets/d/1SX6NBoVAgQJ6U1MVXOaj8PK2l7WJ3RER9xtqwdhxkhw/edit#gid=346597447"",""สิงห์บุรี!M560"")"),0)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IFERROR(__xludf.DUMMYFUNCTION("IMPORTRANGE(""https://docs.google.com/spreadsheets/d/1SX6NBoVAgQJ6U1MVXOaj8PK2l7WJ3RER9xtqwdhxkhw/edit#gid=346597447"",""สิงห์บุรี!J561"")"),0)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IFERROR(__xludf.DUMMYFUNCTION("IMPORTRANGE(""https://docs.google.com/spreadsheets/d/1SX6NBoVAgQJ6U1MVXOaj8PK2l7WJ3RER9xtqwdhxkhw/edit#gid=346597447"",""สิงห์บุรี!J562"")"),0)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IFERROR(__xludf.DUMMYFUNCTION("IMPORTRANGE(""https://docs.google.com/spreadsheets/d/1SX6NBoVAgQJ6U1MVXOaj8PK2l7WJ3RER9xtqwdhxkhw/edit#gid=346597447"",""สิงห์บุรี!I563"")"),0)</f>
        <v>0</v>
      </c>
      <c r="J668" s="536">
        <f ca="1">IFERROR(__xludf.DUMMYFUNCTION("IMPORTRANGE(""https://docs.google.com/spreadsheets/d/1SX6NBoVAgQJ6U1MVXOaj8PK2l7WJ3RER9xtqwdhxkhw/edit#gid=346597447"",""สิงห์บุรี!J563"")"),0)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IFERROR(__xludf.DUMMYFUNCTION("IMPORTRANGE(""https://docs.google.com/spreadsheets/d/1SX6NBoVAgQJ6U1MVXOaj8PK2l7WJ3RER9xtqwdhxkhw/edit#gid=346597447"",""สิงห์บุรี!L563"")"),0)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IFERROR(__xludf.DUMMYFUNCTION("IMPORTRANGE(""https://docs.google.com/spreadsheets/d/1SX6NBoVAgQJ6U1MVXOaj8PK2l7WJ3RER9xtqwdhxkhw/edit#gid=346597447"",""สิงห์บุรี!M563"")"),0)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IFERROR(__xludf.DUMMYFUNCTION("IMPORTRANGE(""https://docs.google.com/spreadsheets/d/1SX6NBoVAgQJ6U1MVXOaj8PK2l7WJ3RER9xtqwdhxkhw/edit#gid=346597447"",""สิงห์บุรี!J564"")"),0)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IFERROR(__xludf.DUMMYFUNCTION("IMPORTRANGE(""https://docs.google.com/spreadsheets/d/1SX6NBoVAgQJ6U1MVXOaj8PK2l7WJ3RER9xtqwdhxkhw/edit#gid=346597447"",""สิงห์บุรี!J565"")"),0)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IFERROR(__xludf.DUMMYFUNCTION("IMPORTRANGE(""https://docs.google.com/spreadsheets/d/1SX6NBoVAgQJ6U1MVXOaj8PK2l7WJ3RER9xtqwdhxkhw/edit#gid=346597447"",""สิงห์บุรี!I566"")"),0)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IFERROR(__xludf.DUMMYFUNCTION("IMPORTRANGE(""https://docs.google.com/spreadsheets/d/1SX6NBoVAgQJ6U1MVXOaj8PK2l7WJ3RER9xtqwdhxkhw/edit#gid=346597447"",""สิงห์บุรี!L566"")"),0)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IFERROR(__xludf.DUMMYFUNCTION("IMPORTRANGE(""https://docs.google.com/spreadsheets/d/1SX6NBoVAgQJ6U1MVXOaj8PK2l7WJ3RER9xtqwdhxkhw/edit#gid=346597447"",""สิงห์บุรี!M566"")"),0)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IFERROR(__xludf.DUMMYFUNCTION("IMPORTRANGE(""https://docs.google.com/spreadsheets/d/1SX6NBoVAgQJ6U1MVXOaj8PK2l7WJ3RER9xtqwdhxkhw/edit#gid=346597447"",""สิงห์บุรี!J567"")"),0)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IFERROR(__xludf.DUMMYFUNCTION("IMPORTRANGE(""https://docs.google.com/spreadsheets/d/1SX6NBoVAgQJ6U1MVXOaj8PK2l7WJ3RER9xtqwdhxkhw/edit#gid=346597447"",""สิงห์บุรี!J568"")"),0)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IFERROR(__xludf.DUMMYFUNCTION("IMPORTRANGE(""https://docs.google.com/spreadsheets/d/1SX6NBoVAgQJ6U1MVXOaj8PK2l7WJ3RER9xtqwdhxkhw/edit#gid=346597447"",""สิงห์บุรี!J569"")"),0)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IFERROR(__xludf.DUMMYFUNCTION("IMPORTRANGE(""https://docs.google.com/spreadsheets/d/1SX6NBoVAgQJ6U1MVXOaj8PK2l7WJ3RER9xtqwdhxkhw/edit#gid=346597447"",""สิงห์บุรี!J570"")"),0)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IFERROR(__xludf.DUMMYFUNCTION("IMPORTRANGE(""https://docs.google.com/spreadsheets/d/1SX6NBoVAgQJ6U1MVXOaj8PK2l7WJ3RER9xtqwdhxkhw/edit#gid=346597447"",""สิงห์บุรี!J571"")"),0)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IFERROR(__xludf.DUMMYFUNCTION("IMPORTRANGE(""https://docs.google.com/spreadsheets/d/1SX6NBoVAgQJ6U1MVXOaj8PK2l7WJ3RER9xtqwdhxkhw/edit#gid=346597447"",""สิงห์บุรี!J572"")"),0)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298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7197750</v>
      </c>
      <c r="M8" s="23">
        <f t="shared" ca="1" si="0"/>
        <v>4066901</v>
      </c>
      <c r="N8" s="23">
        <f t="shared" ca="1" si="0"/>
        <v>4937217.4899999974</v>
      </c>
      <c r="O8" s="22">
        <f t="shared" ref="O8:O16" ca="1" si="1">IF(L8&gt;0,N8*100/L8,0)</f>
        <v>68.59390073286788</v>
      </c>
      <c r="P8" s="22">
        <f t="shared" ref="P8:P16" ca="1" si="2">IF(M8&gt;0,N8*100/M8,0)</f>
        <v>121.39999203324589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7197750</v>
      </c>
      <c r="M10" s="30">
        <f t="shared" ca="1" si="4"/>
        <v>4066901</v>
      </c>
      <c r="N10" s="30">
        <f t="shared" ca="1" si="4"/>
        <v>4937217.4899999974</v>
      </c>
      <c r="O10" s="29">
        <f t="shared" ca="1" si="1"/>
        <v>68.59390073286788</v>
      </c>
      <c r="P10" s="29">
        <f t="shared" ca="1" si="2"/>
        <v>121.39999203324589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6264750</v>
      </c>
      <c r="M12" s="38">
        <f t="shared" ca="1" si="6"/>
        <v>3133901</v>
      </c>
      <c r="N12" s="38">
        <f t="shared" ca="1" si="6"/>
        <v>4004217.4899999974</v>
      </c>
      <c r="O12" s="38">
        <f t="shared" ca="1" si="1"/>
        <v>63.916636577676648</v>
      </c>
      <c r="P12" s="38">
        <f t="shared" ca="1" si="2"/>
        <v>127.77102690863552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2351700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3913050</v>
      </c>
      <c r="M14" s="38">
        <f t="shared" si="8"/>
        <v>0</v>
      </c>
      <c r="N14" s="38">
        <f t="shared" ca="1" si="8"/>
        <v>1310516.9299999981</v>
      </c>
      <c r="O14" s="38">
        <f t="shared" ca="1" si="1"/>
        <v>33.490932392890407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933000</v>
      </c>
      <c r="M16" s="38">
        <f t="shared" ca="1" si="10"/>
        <v>933000</v>
      </c>
      <c r="N16" s="38">
        <f t="shared" ca="1" si="10"/>
        <v>933000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4597055</v>
      </c>
      <c r="M18" s="23">
        <f t="shared" ca="1" si="11"/>
        <v>4066901</v>
      </c>
      <c r="N18" s="23">
        <f t="shared" ca="1" si="11"/>
        <v>3626700.5599999996</v>
      </c>
      <c r="O18" s="22">
        <f t="shared" ref="O18:O20" ca="1" si="12">IF(L18&gt;0,N18*100/L18,0)</f>
        <v>78.891824439777196</v>
      </c>
      <c r="P18" s="22">
        <f t="shared" ref="P18:P26" ca="1" si="13">IF(M18&gt;0,N18*100/M18,0)</f>
        <v>89.176022725903564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4597055</v>
      </c>
      <c r="M20" s="30">
        <f t="shared" ca="1" si="15"/>
        <v>4066901</v>
      </c>
      <c r="N20" s="30">
        <f t="shared" ca="1" si="15"/>
        <v>3626700.5599999996</v>
      </c>
      <c r="O20" s="29">
        <f t="shared" ca="1" si="12"/>
        <v>78.891824439777196</v>
      </c>
      <c r="P20" s="29">
        <f t="shared" ca="1" si="13"/>
        <v>89.176022725903564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3664055</v>
      </c>
      <c r="M22" s="41">
        <f t="shared" ca="1" si="18"/>
        <v>3133901</v>
      </c>
      <c r="N22" s="38">
        <f t="shared" ca="1" si="18"/>
        <v>2693700.5599999996</v>
      </c>
      <c r="O22" s="38">
        <f t="shared" ca="1" si="17"/>
        <v>73.516924827820532</v>
      </c>
      <c r="P22" s="38">
        <f t="shared" ca="1" si="13"/>
        <v>85.953594577493021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2351700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1312355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933000</v>
      </c>
      <c r="M26" s="49">
        <f t="shared" ca="1" si="22"/>
        <v>933000</v>
      </c>
      <c r="N26" s="49">
        <f t="shared" ca="1" si="22"/>
        <v>933000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2600695</v>
      </c>
      <c r="M28" s="23">
        <f t="shared" si="23"/>
        <v>0</v>
      </c>
      <c r="N28" s="23">
        <f t="shared" ca="1" si="23"/>
        <v>1310516.9299999981</v>
      </c>
      <c r="O28" s="22">
        <f t="shared" ref="O28:O30" ca="1" si="24">IF(L28&gt;0,N28*100/L28,0)</f>
        <v>50.391027398445338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2600695</v>
      </c>
      <c r="M30" s="30">
        <f t="shared" si="27"/>
        <v>0</v>
      </c>
      <c r="N30" s="30">
        <f t="shared" ca="1" si="27"/>
        <v>1310516.9299999981</v>
      </c>
      <c r="O30" s="29">
        <f t="shared" ca="1" si="24"/>
        <v>50.391027398445338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2600695</v>
      </c>
      <c r="M32" s="38">
        <f t="shared" si="30"/>
        <v>0</v>
      </c>
      <c r="N32" s="38">
        <f t="shared" ca="1" si="30"/>
        <v>1310516.9299999981</v>
      </c>
      <c r="O32" s="38">
        <f t="shared" ca="1" si="29"/>
        <v>50.391027398445338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2600695</v>
      </c>
      <c r="M34" s="38">
        <f t="shared" si="32"/>
        <v>0</v>
      </c>
      <c r="N34" s="38">
        <f t="shared" ca="1" si="32"/>
        <v>1310516.9299999981</v>
      </c>
      <c r="O34" s="38">
        <f t="shared" ca="1" si="29"/>
        <v>50.391027398445338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4597055</v>
      </c>
      <c r="M37" s="54">
        <f t="shared" ca="1" si="33"/>
        <v>4066901</v>
      </c>
      <c r="N37" s="54">
        <f t="shared" ca="1" si="33"/>
        <v>3626700.5599999996</v>
      </c>
      <c r="O37" s="55">
        <f t="shared" ca="1" si="29"/>
        <v>78.891824439777196</v>
      </c>
      <c r="P37" s="55">
        <f t="shared" ca="1" si="25"/>
        <v>89.176022725903564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851300</v>
      </c>
      <c r="M41" s="78">
        <f t="shared" ca="1" si="34"/>
        <v>638500</v>
      </c>
      <c r="N41" s="78">
        <f t="shared" ca="1" si="34"/>
        <v>560884.1</v>
      </c>
      <c r="O41" s="77">
        <f t="shared" ref="O41:O43" ca="1" si="35">IF(L41&gt;0,N41*100/L41,0)</f>
        <v>65.885598496417245</v>
      </c>
      <c r="P41" s="77">
        <f t="shared" ref="P41:P43" ca="1" si="36">IF(M41&gt;0,N41*100/M41,0)</f>
        <v>87.844025058731404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851300</v>
      </c>
      <c r="M43" s="78">
        <f t="shared" ca="1" si="38"/>
        <v>638500</v>
      </c>
      <c r="N43" s="78">
        <f t="shared" ca="1" si="38"/>
        <v>560884.1</v>
      </c>
      <c r="O43" s="77">
        <f t="shared" ca="1" si="35"/>
        <v>65.885598496417245</v>
      </c>
      <c r="P43" s="77">
        <f t="shared" ca="1" si="36"/>
        <v>87.844025058731404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851300</v>
      </c>
      <c r="M45" s="49">
        <f ca="1">IFERROR(__xludf.DUMMYFUNCTION("IMPORTRANGE(""https://docs.google.com/spreadsheets/d/1Yj_ptqi66GCucihVvJfMjLAmec39IyEx_6qawtMGysU/edit?usp=sharing"",""สบก!Q78"")"),638500)</f>
        <v>638500</v>
      </c>
      <c r="N45" s="49">
        <f ca="1">IFERROR(__xludf.DUMMYFUNCTION("IMPORTRANGE(""https://docs.google.com/spreadsheets/d/1Yj_ptqi66GCucihVvJfMjLAmec39IyEx_6qawtMGysU/edit?usp=sharing"",""สบก!R78"")"),560884.1)</f>
        <v>560884.1</v>
      </c>
      <c r="O45" s="38">
        <f ca="1">IF(L45&gt;0,N45*100/L45,0)</f>
        <v>65.885598496417245</v>
      </c>
      <c r="P45" s="38">
        <f ca="1">IF(M45&gt;0,N45*100/M45,0)</f>
        <v>87.844025058731404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IFERROR(__xludf.DUMMYFUNCTION("IMPORTRANGE(""https://docs.google.com/spreadsheets/d/1Yj_ptqi66GCucihVvJfMjLAmec39IyEx_6qawtMGysU/edit?usp=sharing"",""สบก!M78"")"),851300)</f>
        <v>851300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IFERROR(__xludf.DUMMYFUNCTION("IMPORTRANGE(""https://docs.google.com/spreadsheets/d/1Yj_ptqi66GCucihVvJfMjLAmec39IyEx_6qawtMGysU/edit?usp=sharing"",""สบก!O78"")"),0)</f>
        <v>0</v>
      </c>
      <c r="M49" s="49"/>
      <c r="N49" s="49">
        <f ca="1">IFERROR(__xludf.DUMMYFUNCTION("IMPORTRANGE(""https://docs.google.com/spreadsheets/d/1Yj_ptqi66GCucihVvJfMjLAmec39IyEx_6qawtMGysU/edit?usp=sharing"",""สบก!S78"")"),0)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613131</v>
      </c>
      <c r="N53" s="121">
        <f t="shared" ca="1" si="39"/>
        <v>601556</v>
      </c>
      <c r="O53" s="120">
        <f t="shared" ref="O53:O55" ca="1" si="40">IF(L53&gt;0,N53*100/L53,0)</f>
        <v>100.25933333333333</v>
      </c>
      <c r="P53" s="120">
        <f t="shared" ref="P53:P55" ca="1" si="41">IF(M53&gt;0,N53*100/M53,0)</f>
        <v>98.112148953486283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613131</v>
      </c>
      <c r="N55" s="121">
        <f t="shared" ca="1" si="43"/>
        <v>601556</v>
      </c>
      <c r="O55" s="120">
        <f t="shared" ca="1" si="40"/>
        <v>100.25933333333333</v>
      </c>
      <c r="P55" s="120">
        <f t="shared" ca="1" si="41"/>
        <v>98.112148953486283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IFERROR(__xludf.DUMMYFUNCTION("IMPORTRANGE(""https://docs.google.com/spreadsheets/d/1Yj_ptqi66GCucihVvJfMjLAmec39IyEx_6qawtMGysU/edit?usp=sharing"",""สบก!Z78"")"),613131)</f>
        <v>613131</v>
      </c>
      <c r="N57" s="49">
        <f ca="1">IFERROR(__xludf.DUMMYFUNCTION("IMPORTRANGE(""https://docs.google.com/spreadsheets/d/1Yj_ptqi66GCucihVvJfMjLAmec39IyEx_6qawtMGysU/edit?usp=sharing"",""สบก!AA78"")"),601556)</f>
        <v>601556</v>
      </c>
      <c r="O57" s="38">
        <f ca="1">IF(L57&gt;0,N57*100/L57,0)</f>
        <v>100.25933333333333</v>
      </c>
      <c r="P57" s="38">
        <f ca="1">IF(M57&gt;0,N57*100/M57,0)</f>
        <v>98.112148953486283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IFERROR(__xludf.DUMMYFUNCTION("IMPORTRANGE(""https://docs.google.com/spreadsheets/d/1Yj_ptqi66GCucihVvJfMjLAmec39IyEx_6qawtMGysU/edit?usp=sharing"",""สบก!V78"")"),600000)</f>
        <v>600000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1870200</v>
      </c>
      <c r="M66" s="152">
        <f t="shared" ca="1" si="45"/>
        <v>1714400</v>
      </c>
      <c r="N66" s="152">
        <f t="shared" ca="1" si="45"/>
        <v>1599992.7</v>
      </c>
      <c r="O66" s="151">
        <f t="shared" ref="O66:O68" ca="1" si="46">IF(L66&gt;0,N66*100/L66,0)</f>
        <v>85.551957009945454</v>
      </c>
      <c r="P66" s="151">
        <f t="shared" ref="P66:P68" ca="1" si="47">IF(M66&gt;0,N66*100/M66,0)</f>
        <v>93.326685720951943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1870200</v>
      </c>
      <c r="M68" s="157">
        <f t="shared" ca="1" si="49"/>
        <v>1714400</v>
      </c>
      <c r="N68" s="157">
        <f t="shared" ca="1" si="49"/>
        <v>1599992.7</v>
      </c>
      <c r="O68" s="156">
        <f t="shared" ca="1" si="46"/>
        <v>85.551957009945454</v>
      </c>
      <c r="P68" s="156">
        <f t="shared" ca="1" si="47"/>
        <v>93.326685720951943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947200</v>
      </c>
      <c r="M70" s="168">
        <f ca="1">IFERROR(__xludf.DUMMYFUNCTION("IMPORTRANGE(""https://docs.google.com/spreadsheets/d/1Yj_ptqi66GCucihVvJfMjLAmec39IyEx_6qawtMGysU/edit?usp=sharing"",""สบก!AI78"")"),791400)</f>
        <v>791400</v>
      </c>
      <c r="N70" s="169">
        <f ca="1">IFERROR(__xludf.DUMMYFUNCTION("IMPORTRANGE(""https://docs.google.com/spreadsheets/d/1Yj_ptqi66GCucihVvJfMjLAmec39IyEx_6qawtMGysU/edit?usp=sharing"",""สบก!AJ78"")"),676992.7)</f>
        <v>676992.7</v>
      </c>
      <c r="O70" s="169">
        <f ca="1">IF(L70&gt;0,N70*100/L70,0)</f>
        <v>71.473046874999994</v>
      </c>
      <c r="P70" s="169">
        <f ca="1">IF(M70&gt;0,N70*100/M70,0)</f>
        <v>85.543682082385644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IFERROR(__xludf.DUMMYFUNCTION("IMPORTRANGE(""https://docs.google.com/spreadsheets/d/1Yj_ptqi66GCucihVvJfMjLAmec39IyEx_6qawtMGysU/edit?usp=sharing"",""สบก!AE78"")"),317200)</f>
        <v>317200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IFERROR(__xludf.DUMMYFUNCTION("IMPORTRANGE(""https://docs.google.com/spreadsheets/d/1Yj_ptqi66GCucihVvJfMjLAmec39IyEx_6qawtMGysU/edit?usp=sharing"",""สบก!AF78"")"),630000)</f>
        <v>630000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IFERROR(__xludf.DUMMYFUNCTION("IMPORTRANGE(""https://docs.google.com/spreadsheets/d/1SX6NBoVAgQJ6U1MVXOaj8PK2l7WJ3RER9xtqwdhxkhw/edit?usp=sharing"",""สุพรรณบุรี!J16"")"),0)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IFERROR(__xludf.DUMMYFUNCTION("IMPORTRANGE(""https://docs.google.com/spreadsheets/d/1SX6NBoVAgQJ6U1MVXOaj8PK2l7WJ3RER9xtqwdhxkhw/edit?usp=sharing"",""สุพรรณบุรี!J17"")"),1)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IFERROR(__xludf.DUMMYFUNCTION("IMPORTRANGE(""https://docs.google.com/spreadsheets/d/1SX6NBoVAgQJ6U1MVXOaj8PK2l7WJ3RER9xtqwdhxkhw/edit?usp=sharing"",""สุพรรณบุรี!J18"")"),1)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IFERROR(__xludf.DUMMYFUNCTION("IMPORTRANGE(""https://docs.google.com/spreadsheets/d/1SX6NBoVAgQJ6U1MVXOaj8PK2l7WJ3RER9xtqwdhxkhw/edit?usp=sharing"",""สุพรรณบุรี!J19"")"),1)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IFERROR(__xludf.DUMMYFUNCTION("IMPORTRANGE(""https://docs.google.com/spreadsheets/d/1SX6NBoVAgQJ6U1MVXOaj8PK2l7WJ3RER9xtqwdhxkhw/edit?usp=sharing"",""สุพรรณบุรี!I20"")"),2)</f>
        <v>2</v>
      </c>
      <c r="J80" s="201">
        <f ca="1">IFERROR(__xludf.DUMMYFUNCTION("IMPORTRANGE(""https://docs.google.com/spreadsheets/d/1SX6NBoVAgQJ6U1MVXOaj8PK2l7WJ3RER9xtqwdhxkhw/edit?usp=sharing"",""สุพรรณบุรี!J20"")"),2)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IFERROR(__xludf.DUMMYFUNCTION("IMPORTRANGE(""https://docs.google.com/spreadsheets/d/1SX6NBoVAgQJ6U1MVXOaj8PK2l7WJ3RER9xtqwdhxkhw/edit?usp=sharing"",""สุพรรณบุรี!I21"")"),70)</f>
        <v>70</v>
      </c>
      <c r="J81" s="201">
        <f ca="1">IFERROR(__xludf.DUMMYFUNCTION("IMPORTRANGE(""https://docs.google.com/spreadsheets/d/1SX6NBoVAgQJ6U1MVXOaj8PK2l7WJ3RER9xtqwdhxkhw/edit?usp=sharing"",""สุพรรณบุรี!J21"")"),70)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IFERROR(__xludf.DUMMYFUNCTION("IMPORTRANGE(""https://docs.google.com/spreadsheets/d/1SX6NBoVAgQJ6U1MVXOaj8PK2l7WJ3RER9xtqwdhxkhw/edit?usp=sharing"",""สุพรรณบุรี!I22"")"),0)</f>
        <v>0</v>
      </c>
      <c r="J82" s="204">
        <f ca="1">IFERROR(__xludf.DUMMYFUNCTION("IMPORTRANGE(""https://docs.google.com/spreadsheets/d/1SX6NBoVAgQJ6U1MVXOaj8PK2l7WJ3RER9xtqwdhxkhw/edit?usp=sharing"",""สุพรรณบุรี!J22"")"),0)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IFERROR(__xludf.DUMMYFUNCTION("IMPORTRANGE(""https://docs.google.com/spreadsheets/d/1SX6NBoVAgQJ6U1MVXOaj8PK2l7WJ3RER9xtqwdhxkhw/edit?usp=sharing"",""สุพรรณบุรี!I23"")"),0)</f>
        <v>0</v>
      </c>
      <c r="J83" s="204">
        <f ca="1">IFERROR(__xludf.DUMMYFUNCTION("IMPORTRANGE(""https://docs.google.com/spreadsheets/d/1SX6NBoVAgQJ6U1MVXOaj8PK2l7WJ3RER9xtqwdhxkhw/edit?usp=sharing"",""สุพรรณบุรี!J23"")"),0)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IFERROR(__xludf.DUMMYFUNCTION("IMPORTRANGE(""https://docs.google.com/spreadsheets/d/1SX6NBoVAgQJ6U1MVXOaj8PK2l7WJ3RER9xtqwdhxkhw/edit?usp=sharing"",""สุพรรณบุรี!I24"")"),0)</f>
        <v>0</v>
      </c>
      <c r="J84" s="189">
        <f ca="1">IFERROR(__xludf.DUMMYFUNCTION("IMPORTRANGE(""https://docs.google.com/spreadsheets/d/1SX6NBoVAgQJ6U1MVXOaj8PK2l7WJ3RER9xtqwdhxkhw/edit?usp=sharing"",""สุพรรณบุรี!J24"")"),0)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IFERROR(__xludf.DUMMYFUNCTION("IMPORTRANGE(""https://docs.google.com/spreadsheets/d/1SX6NBoVAgQJ6U1MVXOaj8PK2l7WJ3RER9xtqwdhxkhw/edit?usp=sharing"",""สุพรรณบุรี!I25"")"),0)</f>
        <v>0</v>
      </c>
      <c r="J85" s="189">
        <f ca="1">IFERROR(__xludf.DUMMYFUNCTION("IMPORTRANGE(""https://docs.google.com/spreadsheets/d/1SX6NBoVAgQJ6U1MVXOaj8PK2l7WJ3RER9xtqwdhxkhw/edit?usp=sharing"",""สุพรรณบุรี!J25"")"),0)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IFERROR(__xludf.DUMMYFUNCTION("IMPORTRANGE(""https://docs.google.com/spreadsheets/d/1SX6NBoVAgQJ6U1MVXOaj8PK2l7WJ3RER9xtqwdhxkhw/edit?usp=sharing"",""สุพรรณบุรี!I26"")"),2)</f>
        <v>2</v>
      </c>
      <c r="J86" s="204">
        <f ca="1">IFERROR(__xludf.DUMMYFUNCTION("IMPORTRANGE(""https://docs.google.com/spreadsheets/d/1SX6NBoVAgQJ6U1MVXOaj8PK2l7WJ3RER9xtqwdhxkhw/edit?usp=sharing"",""สุพรรณบุรี!J26"")"),2)</f>
        <v>2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IFERROR(__xludf.DUMMYFUNCTION("IMPORTRANGE(""https://docs.google.com/spreadsheets/d/1SX6NBoVAgQJ6U1MVXOaj8PK2l7WJ3RER9xtqwdhxkhw/edit?usp=sharing"",""สุพรรณบุรี!I27"")"),70)</f>
        <v>70</v>
      </c>
      <c r="J87" s="204">
        <f ca="1">IFERROR(__xludf.DUMMYFUNCTION("IMPORTRANGE(""https://docs.google.com/spreadsheets/d/1SX6NBoVAgQJ6U1MVXOaj8PK2l7WJ3RER9xtqwdhxkhw/edit?usp=sharing"",""สุพรรณบุรี!J27"")"),70)</f>
        <v>70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IFERROR(__xludf.DUMMYFUNCTION("IMPORTRANGE(""https://docs.google.com/spreadsheets/d/1SX6NBoVAgQJ6U1MVXOaj8PK2l7WJ3RER9xtqwdhxkhw/edit?usp=sharing"",""สุพรรณบุรี!I28"")"),2)</f>
        <v>2</v>
      </c>
      <c r="J88" s="204">
        <f ca="1">IFERROR(__xludf.DUMMYFUNCTION("IMPORTRANGE(""https://docs.google.com/spreadsheets/d/1SX6NBoVAgQJ6U1MVXOaj8PK2l7WJ3RER9xtqwdhxkhw/edit?usp=sharing"",""สุพรรณบุรี!J28"")"),0)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IFERROR(__xludf.DUMMYFUNCTION("IMPORTRANGE(""https://docs.google.com/spreadsheets/d/1SX6NBoVAgQJ6U1MVXOaj8PK2l7WJ3RER9xtqwdhxkhw/edit?usp=sharing"",""สุพรรณบุรี!J29"")"),0)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IFERROR(__xludf.DUMMYFUNCTION("IMPORTRANGE(""https://docs.google.com/spreadsheets/d/1SX6NBoVAgQJ6U1MVXOaj8PK2l7WJ3RER9xtqwdhxkhw/edit?usp=sharing"",""สุพรรณบุรี!J30"")"),0)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IFERROR(__xludf.DUMMYFUNCTION("IMPORTRANGE(""https://docs.google.com/spreadsheets/d/1Yj_ptqi66GCucihVvJfMjLAmec39IyEx_6qawtMGysU/edit?usp=sharing"",""สบก!AR78"")"),0)</f>
        <v>0</v>
      </c>
      <c r="N98" s="169">
        <f ca="1">IFERROR(__xludf.DUMMYFUNCTION("IMPORTRANGE(""https://docs.google.com/spreadsheets/d/1Yj_ptqi66GCucihVvJfMjLAmec39IyEx_6qawtMGysU/edit?usp=sharing"",""สบก!AS78"")"),0)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IFERROR(__xludf.DUMMYFUNCTION("IMPORTRANGE(""https://docs.google.com/spreadsheets/d/1SX6NBoVAgQJ6U1MVXOaj8PK2l7WJ3RER9xtqwdhxkhw/edit?usp=sharing"",""สุพรรณบุรี!J39"")"),0)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IFERROR(__xludf.DUMMYFUNCTION("IMPORTRANGE(""https://docs.google.com/spreadsheets/d/1SX6NBoVAgQJ6U1MVXOaj8PK2l7WJ3RER9xtqwdhxkhw/edit?usp=sharing"",""สุพรรณบุรี!J40"")"),0)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IFERROR(__xludf.DUMMYFUNCTION("IMPORTRANGE(""https://docs.google.com/spreadsheets/d/1SX6NBoVAgQJ6U1MVXOaj8PK2l7WJ3RER9xtqwdhxkhw/edit?usp=sharing"",""สุพรรณบุรี!J41"")"),0)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IFERROR(__xludf.DUMMYFUNCTION("IMPORTRANGE(""https://docs.google.com/spreadsheets/d/1SX6NBoVAgQJ6U1MVXOaj8PK2l7WJ3RER9xtqwdhxkhw/edit?usp=sharing"",""สุพรรณบุรี!J42"")"),0)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IFERROR(__xludf.DUMMYFUNCTION("IMPORTRANGE(""https://docs.google.com/spreadsheets/d/1SX6NBoVAgQJ6U1MVXOaj8PK2l7WJ3RER9xtqwdhxkhw/edit?usp=sharing"",""สุพรรณบุรี!I43"")"),0)</f>
        <v>0</v>
      </c>
      <c r="J108" s="204">
        <f ca="1">IFERROR(__xludf.DUMMYFUNCTION("IMPORTRANGE(""https://docs.google.com/spreadsheets/d/1SX6NBoVAgQJ6U1MVXOaj8PK2l7WJ3RER9xtqwdhxkhw/edit?usp=sharing"",""สุพรรณบุรี!J43"")"),0)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IFERROR(__xludf.DUMMYFUNCTION("IMPORTRANGE(""https://docs.google.com/spreadsheets/d/1SX6NBoVAgQJ6U1MVXOaj8PK2l7WJ3RER9xtqwdhxkhw/edit?usp=sharing"",""สุพรรณบุรี!I44"")"),0)</f>
        <v>0</v>
      </c>
      <c r="J109" s="204">
        <f ca="1">IFERROR(__xludf.DUMMYFUNCTION("IMPORTRANGE(""https://docs.google.com/spreadsheets/d/1SX6NBoVAgQJ6U1MVXOaj8PK2l7WJ3RER9xtqwdhxkhw/edit?usp=sharing"",""สุพรรณบุรี!J44"")"),0)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IFERROR(__xludf.DUMMYFUNCTION("IMPORTRANGE(""https://docs.google.com/spreadsheets/d/1SX6NBoVAgQJ6U1MVXOaj8PK2l7WJ3RER9xtqwdhxkhw/edit?usp=sharing"",""สุพรรณบุรี!I45"")"),0)</f>
        <v>0</v>
      </c>
      <c r="J110" s="204">
        <f ca="1">IFERROR(__xludf.DUMMYFUNCTION("IMPORTRANGE(""https://docs.google.com/spreadsheets/d/1SX6NBoVAgQJ6U1MVXOaj8PK2l7WJ3RER9xtqwdhxkhw/edit?usp=sharing"",""สุพรรณบุรี!J45"")"),0)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IFERROR(__xludf.DUMMYFUNCTION("IMPORTRANGE(""https://docs.google.com/spreadsheets/d/1SX6NBoVAgQJ6U1MVXOaj8PK2l7WJ3RER9xtqwdhxkhw/edit?usp=sharing"",""สุพรรณบุรี!I46"")"),0)</f>
        <v>0</v>
      </c>
      <c r="J111" s="204">
        <f ca="1">IFERROR(__xludf.DUMMYFUNCTION("IMPORTRANGE(""https://docs.google.com/spreadsheets/d/1SX6NBoVAgQJ6U1MVXOaj8PK2l7WJ3RER9xtqwdhxkhw/edit?usp=sharing"",""สุพรรณบุรี!J46"")"),0)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IFERROR(__xludf.DUMMYFUNCTION("IMPORTRANGE(""https://docs.google.com/spreadsheets/d/1SX6NBoVAgQJ6U1MVXOaj8PK2l7WJ3RER9xtqwdhxkhw/edit?usp=sharing"",""สุพรรณบุรี!I47"")"),0)</f>
        <v>0</v>
      </c>
      <c r="J112" s="204">
        <f ca="1">IFERROR(__xludf.DUMMYFUNCTION("IMPORTRANGE(""https://docs.google.com/spreadsheets/d/1SX6NBoVAgQJ6U1MVXOaj8PK2l7WJ3RER9xtqwdhxkhw/edit?usp=sharing"",""สุพรรณบุรี!J47"")"),0)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IFERROR(__xludf.DUMMYFUNCTION("IMPORTRANGE(""https://docs.google.com/spreadsheets/d/1SX6NBoVAgQJ6U1MVXOaj8PK2l7WJ3RER9xtqwdhxkhw/edit?usp=sharing"",""สุพรรณบุรี!I48"")"),0)</f>
        <v>0</v>
      </c>
      <c r="J113" s="204">
        <f ca="1">IFERROR(__xludf.DUMMYFUNCTION("IMPORTRANGE(""https://docs.google.com/spreadsheets/d/1SX6NBoVAgQJ6U1MVXOaj8PK2l7WJ3RER9xtqwdhxkhw/edit?usp=sharing"",""สุพรรณบุรี!J48"")"),0)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IFERROR(__xludf.DUMMYFUNCTION("IMPORTRANGE(""https://docs.google.com/spreadsheets/d/1SX6NBoVAgQJ6U1MVXOaj8PK2l7WJ3RER9xtqwdhxkhw/edit?usp=sharing"",""สุพรรณบุรี!J49"")"),0)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IFERROR(__xludf.DUMMYFUNCTION("IMPORTRANGE(""https://docs.google.com/spreadsheets/d/1SX6NBoVAgQJ6U1MVXOaj8PK2l7WJ3RER9xtqwdhxkhw/edit?usp=sharing"",""สุพรรณบุรี!J50"")"),0)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63967</v>
      </c>
      <c r="O118" s="151">
        <f t="shared" ref="O118:O120" ca="1" si="59">IF(L118&gt;0,N118*100/L118,0)</f>
        <v>98.577592849437508</v>
      </c>
      <c r="P118" s="151">
        <f t="shared" ref="P118:P120" ca="1" si="60">IF(M118&gt;0,N118*100/M118,0)</f>
        <v>98.577592849437508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63967</v>
      </c>
      <c r="O120" s="156">
        <f t="shared" ca="1" si="59"/>
        <v>98.577592849437508</v>
      </c>
      <c r="P120" s="156">
        <f t="shared" ca="1" si="60"/>
        <v>98.577592849437508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IFERROR(__xludf.DUMMYFUNCTION("IMPORTRANGE(""https://docs.google.com/spreadsheets/d/1Yj_ptqi66GCucihVvJfMjLAmec39IyEx_6qawtMGysU/edit?usp=sharing"",""สบก!BA78"")"),64890)</f>
        <v>64890</v>
      </c>
      <c r="N122" s="169">
        <f ca="1">IFERROR(__xludf.DUMMYFUNCTION("IMPORTRANGE(""https://docs.google.com/spreadsheets/d/1Yj_ptqi66GCucihVvJfMjLAmec39IyEx_6qawtMGysU/edit?usp=sharing"",""สบก!BB78"")"),63967)</f>
        <v>63967</v>
      </c>
      <c r="O122" s="169">
        <f ca="1">IF(L122&gt;0,N122*100/L122,0)</f>
        <v>98.577592849437508</v>
      </c>
      <c r="P122" s="169">
        <f ca="1">IF(M122&gt;0,N122*100/M122,0)</f>
        <v>98.577592849437508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IFERROR(__xludf.DUMMYFUNCTION("IMPORTRANGE(""https://docs.google.com/spreadsheets/d/1Yj_ptqi66GCucihVvJfMjLAmec39IyEx_6qawtMGysU/edit?usp=sharing"",""สบก!AX78"")"),64890)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IFERROR(__xludf.DUMMYFUNCTION("IMPORTRANGE(""https://docs.google.com/spreadsheets/d/1SX6NBoVAgQJ6U1MVXOaj8PK2l7WJ3RER9xtqwdhxkhw/edit?usp=sharing"",""สุพรรณบุรี!J58"")"),0)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IFERROR(__xludf.DUMMYFUNCTION("IMPORTRANGE(""https://docs.google.com/spreadsheets/d/1SX6NBoVAgQJ6U1MVXOaj8PK2l7WJ3RER9xtqwdhxkhw/edit?usp=sharing"",""สุพรรณบุรี!J59"")"),1)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IFERROR(__xludf.DUMMYFUNCTION("IMPORTRANGE(""https://docs.google.com/spreadsheets/d/1SX6NBoVAgQJ6U1MVXOaj8PK2l7WJ3RER9xtqwdhxkhw/edit?usp=sharing"",""สุพรรณบุรี!J60"")"),1)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IFERROR(__xludf.DUMMYFUNCTION("IMPORTRANGE(""https://docs.google.com/spreadsheets/d/1SX6NBoVAgQJ6U1MVXOaj8PK2l7WJ3RER9xtqwdhxkhw/edit?usp=sharing"",""สุพรรณบุรี!J61"")"),1)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IFERROR(__xludf.DUMMYFUNCTION("IMPORTRANGE(""https://docs.google.com/spreadsheets/d/1SX6NBoVAgQJ6U1MVXOaj8PK2l7WJ3RER9xtqwdhxkhw/edit?usp=sharing"",""สุพรรณบุรี!I62"")"),15)</f>
        <v>15</v>
      </c>
      <c r="J132" s="204">
        <f ca="1">IFERROR(__xludf.DUMMYFUNCTION("IMPORTRANGE(""https://docs.google.com/spreadsheets/d/1SX6NBoVAgQJ6U1MVXOaj8PK2l7WJ3RER9xtqwdhxkhw/edit?usp=sharing"",""สุพรรณบุรี!J62"")"),15)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IFERROR(__xludf.DUMMYFUNCTION("IMPORTRANGE(""https://docs.google.com/spreadsheets/d/1SX6NBoVAgQJ6U1MVXOaj8PK2l7WJ3RER9xtqwdhxkhw/edit?usp=sharing"",""สุพรรณบุรี!I63"")"),15)</f>
        <v>15</v>
      </c>
      <c r="J133" s="204">
        <f ca="1">IFERROR(__xludf.DUMMYFUNCTION("IMPORTRANGE(""https://docs.google.com/spreadsheets/d/1SX6NBoVAgQJ6U1MVXOaj8PK2l7WJ3RER9xtqwdhxkhw/edit?usp=sharing"",""สุพรรณบุรี!J63"")"),15)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IFERROR(__xludf.DUMMYFUNCTION("IMPORTRANGE(""https://docs.google.com/spreadsheets/d/1SX6NBoVAgQJ6U1MVXOaj8PK2l7WJ3RER9xtqwdhxkhw/edit?usp=sharing"",""สุพรรณบุรี!J64"")"),0)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IFERROR(__xludf.DUMMYFUNCTION("IMPORTRANGE(""https://docs.google.com/spreadsheets/d/1SX6NBoVAgQJ6U1MVXOaj8PK2l7WJ3RER9xtqwdhxkhw/edit?usp=sharing"",""สุพรรณบุรี!J65"")"),0)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IFERROR(__xludf.DUMMYFUNCTION("IMPORTRANGE(""https://docs.google.com/spreadsheets/d/1SX6NBoVAgQJ6U1MVXOaj8PK2l7WJ3RER9xtqwdhxkhw/edit?usp=sharing"",""สุพรรณบุรี!I68"")"),0)</f>
        <v>0</v>
      </c>
      <c r="J138" s="268">
        <f ca="1">IFERROR(__xludf.DUMMYFUNCTION("IMPORTRANGE(""https://docs.google.com/spreadsheets/d/1SX6NBoVAgQJ6U1MVXOaj8PK2l7WJ3RER9xtqwdhxkhw/edit?usp=sharing"",""สุพรรณบุรี!J68"")"),0)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30500</v>
      </c>
      <c r="M140" s="152">
        <f t="shared" ca="1" si="64"/>
        <v>122755</v>
      </c>
      <c r="N140" s="152">
        <f t="shared" ca="1" si="64"/>
        <v>121430</v>
      </c>
      <c r="O140" s="151">
        <f t="shared" ref="O140:O142" ca="1" si="65">IF(L140&gt;0,N140*100/L140,0)</f>
        <v>398.13114754098359</v>
      </c>
      <c r="P140" s="151">
        <f t="shared" ref="P140:P142" ca="1" si="66">IF(M140&gt;0,N140*100/M140,0)</f>
        <v>98.920614231599529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30500</v>
      </c>
      <c r="M142" s="157">
        <f t="shared" ca="1" si="68"/>
        <v>122755</v>
      </c>
      <c r="N142" s="157">
        <f t="shared" ca="1" si="68"/>
        <v>121430</v>
      </c>
      <c r="O142" s="156">
        <f t="shared" ca="1" si="65"/>
        <v>398.13114754098359</v>
      </c>
      <c r="P142" s="156">
        <f t="shared" ca="1" si="66"/>
        <v>98.920614231599529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30500</v>
      </c>
      <c r="M144" s="168">
        <f ca="1">IFERROR(__xludf.DUMMYFUNCTION("IMPORTRANGE(""https://docs.google.com/spreadsheets/d/1Yj_ptqi66GCucihVvJfMjLAmec39IyEx_6qawtMGysU/edit?usp=sharing"",""สบก!BJ78"")"),122755)</f>
        <v>122755</v>
      </c>
      <c r="N144" s="169">
        <f ca="1">IFERROR(__xludf.DUMMYFUNCTION("IMPORTRANGE(""https://docs.google.com/spreadsheets/d/1Yj_ptqi66GCucihVvJfMjLAmec39IyEx_6qawtMGysU/edit?usp=sharing"",""สบก!BK78"")"),121430)</f>
        <v>121430</v>
      </c>
      <c r="O144" s="169">
        <f ca="1">IF(L144&gt;0,N144*100/L144,0)</f>
        <v>398.13114754098359</v>
      </c>
      <c r="P144" s="169">
        <f ca="1">IF(M144&gt;0,N144*100/M144,0)</f>
        <v>98.920614231599529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IFERROR(__xludf.DUMMYFUNCTION("IMPORTRANGE(""https://docs.google.com/spreadsheets/d/1Yj_ptqi66GCucihVvJfMjLAmec39IyEx_6qawtMGysU/edit?usp=sharing"",""สบก!BG78"")"),30500)</f>
        <v>30500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IFERROR(__xludf.DUMMYFUNCTION("IMPORTRANGE(""https://docs.google.com/spreadsheets/d/1SX6NBoVAgQJ6U1MVXOaj8PK2l7WJ3RER9xtqwdhxkhw/edit?usp=sharing"",""สุพรรณบุรี!I74"")"),4)</f>
        <v>4</v>
      </c>
      <c r="J149" s="276">
        <f ca="1">IFERROR(__xludf.DUMMYFUNCTION("IMPORTRANGE(""https://docs.google.com/spreadsheets/d/1SX6NBoVAgQJ6U1MVXOaj8PK2l7WJ3RER9xtqwdhxkhw/edit?usp=sharing"",""สุพรรณบุรี!J74"")"),1)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IFERROR(__xludf.DUMMYFUNCTION("IMPORTRANGE(""https://docs.google.com/spreadsheets/d/1SX6NBoVAgQJ6U1MVXOaj8PK2l7WJ3RER9xtqwdhxkhw/edit?usp=sharing"",""สุพรรณบุรี!J79"")"),0)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IFERROR(__xludf.DUMMYFUNCTION("IMPORTRANGE(""https://docs.google.com/spreadsheets/d/1SX6NBoVAgQJ6U1MVXOaj8PK2l7WJ3RER9xtqwdhxkhw/edit?usp=sharing"",""สุพรรณบุรี!J80"")"),1)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IFERROR(__xludf.DUMMYFUNCTION("IMPORTRANGE(""https://docs.google.com/spreadsheets/d/1SX6NBoVAgQJ6U1MVXOaj8PK2l7WJ3RER9xtqwdhxkhw/edit?usp=sharing"",""สุพรรณบุรี!J81"")"),1)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IFERROR(__xludf.DUMMYFUNCTION("IMPORTRANGE(""https://docs.google.com/spreadsheets/d/1SX6NBoVAgQJ6U1MVXOaj8PK2l7WJ3RER9xtqwdhxkhw/edit?usp=sharing"",""สุพรรณบุรี!J82"")"),1)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IFERROR(__xludf.DUMMYFUNCTION("IMPORTRANGE(""https://docs.google.com/spreadsheets/d/1SX6NBoVAgQJ6U1MVXOaj8PK2l7WJ3RER9xtqwdhxkhw/edit?usp=sharing"",""สุพรรณบุรี!I83"")"),4)</f>
        <v>4</v>
      </c>
      <c r="J158" s="189">
        <f ca="1">IFERROR(__xludf.DUMMYFUNCTION("IMPORTRANGE(""https://docs.google.com/spreadsheets/d/1SX6NBoVAgQJ6U1MVXOaj8PK2l7WJ3RER9xtqwdhxkhw/edit?usp=sharing"",""สุพรรณบุรี!J83"")"),1)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IFERROR(__xludf.DUMMYFUNCTION("IMPORTRANGE(""https://docs.google.com/spreadsheets/d/1SX6NBoVAgQJ6U1MVXOaj8PK2l7WJ3RER9xtqwdhxkhw/edit?usp=sharing"",""สุพรรณบุรี!J84"")"),53)</f>
        <v>53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IFERROR(__xludf.DUMMYFUNCTION("IMPORTRANGE(""https://docs.google.com/spreadsheets/d/1SX6NBoVAgQJ6U1MVXOaj8PK2l7WJ3RER9xtqwdhxkhw/edit?usp=sharing"",""สุพรรณบุรี!J85"")"),53)</f>
        <v>53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IFERROR(__xludf.DUMMYFUNCTION("IMPORTRANGE(""https://docs.google.com/spreadsheets/d/1SX6NBoVAgQJ6U1MVXOaj8PK2l7WJ3RER9xtqwdhxkhw/edit?usp=sharing"",""สุพรรณบุรี!J86"")"),0)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IFERROR(__xludf.DUMMYFUNCTION("IMPORTRANGE(""https://docs.google.com/spreadsheets/d/1SX6NBoVAgQJ6U1MVXOaj8PK2l7WJ3RER9xtqwdhxkhw/edit?usp=sharing"",""สุพรรณบุรี!J87"")"),0)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IFERROR(__xludf.DUMMYFUNCTION("IMPORTRANGE(""https://docs.google.com/spreadsheets/d/1SX6NBoVAgQJ6U1MVXOaj8PK2l7WJ3RER9xtqwdhxkhw/edit?usp=sharing"",""สุพรรณบุรี!J88"")"),0)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IFERROR(__xludf.DUMMYFUNCTION("IMPORTRANGE(""https://docs.google.com/spreadsheets/d/1SX6NBoVAgQJ6U1MVXOaj8PK2l7WJ3RER9xtqwdhxkhw/edit?usp=sharing"",""สุพรรณบุรี!I89"")"),1)</f>
        <v>1</v>
      </c>
      <c r="J164" s="285">
        <f ca="1">IFERROR(__xludf.DUMMYFUNCTION("IMPORTRANGE(""https://docs.google.com/spreadsheets/d/1SX6NBoVAgQJ6U1MVXOaj8PK2l7WJ3RER9xtqwdhxkhw/edit?usp=sharing"",""สุพรรณบุรี!J89"")"),1)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IFERROR(__xludf.DUMMYFUNCTION("IMPORTRANGE(""https://docs.google.com/spreadsheets/d/1SX6NBoVAgQJ6U1MVXOaj8PK2l7WJ3RER9xtqwdhxkhw/edit?usp=sharing"",""สุพรรณบุรี!J94"")"),0)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IFERROR(__xludf.DUMMYFUNCTION("IMPORTRANGE(""https://docs.google.com/spreadsheets/d/1SX6NBoVAgQJ6U1MVXOaj8PK2l7WJ3RER9xtqwdhxkhw/edit?usp=sharing"",""สุพรรณบุรี!J95"")"),1)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IFERROR(__xludf.DUMMYFUNCTION("IMPORTRANGE(""https://docs.google.com/spreadsheets/d/1SX6NBoVAgQJ6U1MVXOaj8PK2l7WJ3RER9xtqwdhxkhw/edit?usp=sharing"",""สุพรรณบุรี!J96"")"),1)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IFERROR(__xludf.DUMMYFUNCTION("IMPORTRANGE(""https://docs.google.com/spreadsheets/d/1SX6NBoVAgQJ6U1MVXOaj8PK2l7WJ3RER9xtqwdhxkhw/edit?usp=sharing"",""สุพรรณบุรี!J97"")"),1)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IFERROR(__xludf.DUMMYFUNCTION("IMPORTRANGE(""https://docs.google.com/spreadsheets/d/1SX6NBoVAgQJ6U1MVXOaj8PK2l7WJ3RER9xtqwdhxkhw/edit?usp=sharing"",""สุพรรณบุรี!I98"")"),1)</f>
        <v>1</v>
      </c>
      <c r="J173" s="189">
        <f ca="1">IFERROR(__xludf.DUMMYFUNCTION("IMPORTRANGE(""https://docs.google.com/spreadsheets/d/1SX6NBoVAgQJ6U1MVXOaj8PK2l7WJ3RER9xtqwdhxkhw/edit?usp=sharing"",""สุพรรณบุรี!J98"")"),1)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IFERROR(__xludf.DUMMYFUNCTION("IMPORTRANGE(""https://docs.google.com/spreadsheets/d/1SX6NBoVAgQJ6U1MVXOaj8PK2l7WJ3RER9xtqwdhxkhw/edit?usp=sharing"",""สุพรรณบุรี!J99"")"),0)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IFERROR(__xludf.DUMMYFUNCTION("IMPORTRANGE(""https://docs.google.com/spreadsheets/d/1SX6NBoVAgQJ6U1MVXOaj8PK2l7WJ3RER9xtqwdhxkhw/edit?usp=sharing"",""สุพรรณบุรี!J100"")"),0)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IFERROR(__xludf.DUMMYFUNCTION("IMPORTRANGE(""https://docs.google.com/spreadsheets/d/1SX6NBoVAgQJ6U1MVXOaj8PK2l7WJ3RER9xtqwdhxkhw/edit?usp=sharing"",""สุพรรณบุรี!I101"")"),0)</f>
        <v>0</v>
      </c>
      <c r="J176" s="285">
        <f ca="1">IFERROR(__xludf.DUMMYFUNCTION("IMPORTRANGE(""https://docs.google.com/spreadsheets/d/1SX6NBoVAgQJ6U1MVXOaj8PK2l7WJ3RER9xtqwdhxkhw/edit?usp=sharing"",""สุพรรณบุรี!J101"")"),0)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IFERROR(__xludf.DUMMYFUNCTION("IMPORTRANGE(""https://docs.google.com/spreadsheets/d/1SX6NBoVAgQJ6U1MVXOaj8PK2l7WJ3RER9xtqwdhxkhw/edit?usp=sharing"",""สุพรรณบุรี!J106"")"),0)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IFERROR(__xludf.DUMMYFUNCTION("IMPORTRANGE(""https://docs.google.com/spreadsheets/d/1SX6NBoVAgQJ6U1MVXOaj8PK2l7WJ3RER9xtqwdhxkhw/edit?usp=sharing"",""สุพรรณบุรี!J107"")"),0)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IFERROR(__xludf.DUMMYFUNCTION("IMPORTRANGE(""https://docs.google.com/spreadsheets/d/1SX6NBoVAgQJ6U1MVXOaj8PK2l7WJ3RER9xtqwdhxkhw/edit?usp=sharing"",""สุพรรณบุรี!J108"")"),0)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IFERROR(__xludf.DUMMYFUNCTION("IMPORTRANGE(""https://docs.google.com/spreadsheets/d/1SX6NBoVAgQJ6U1MVXOaj8PK2l7WJ3RER9xtqwdhxkhw/edit?usp=sharing"",""สุพรรณบุรี!J109"")"),0)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IFERROR(__xludf.DUMMYFUNCTION("IMPORTRANGE(""https://docs.google.com/spreadsheets/d/1SX6NBoVAgQJ6U1MVXOaj8PK2l7WJ3RER9xtqwdhxkhw/edit?usp=sharing"",""สุพรรณบุรี!I110"")"),0)</f>
        <v>0</v>
      </c>
      <c r="J185" s="204">
        <f ca="1">IFERROR(__xludf.DUMMYFUNCTION("IMPORTRANGE(""https://docs.google.com/spreadsheets/d/1SX6NBoVAgQJ6U1MVXOaj8PK2l7WJ3RER9xtqwdhxkhw/edit?usp=sharing"",""สุพรรณบุรี!J110"")"),0)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IFERROR(__xludf.DUMMYFUNCTION("IMPORTRANGE(""https://docs.google.com/spreadsheets/d/1SX6NBoVAgQJ6U1MVXOaj8PK2l7WJ3RER9xtqwdhxkhw/edit?usp=sharing"",""สุพรรณบุรี!I111"")"),0)</f>
        <v>0</v>
      </c>
      <c r="J186" s="204">
        <f ca="1">IFERROR(__xludf.DUMMYFUNCTION("IMPORTRANGE(""https://docs.google.com/spreadsheets/d/1SX6NBoVAgQJ6U1MVXOaj8PK2l7WJ3RER9xtqwdhxkhw/edit?usp=sharing"",""สุพรรณบุรี!J111"")"),0)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IFERROR(__xludf.DUMMYFUNCTION("IMPORTRANGE(""https://docs.google.com/spreadsheets/d/1SX6NBoVAgQJ6U1MVXOaj8PK2l7WJ3RER9xtqwdhxkhw/edit?usp=sharing"",""สุพรรณบุรี!J112"")"),0)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IFERROR(__xludf.DUMMYFUNCTION("IMPORTRANGE(""https://docs.google.com/spreadsheets/d/1SX6NBoVAgQJ6U1MVXOaj8PK2l7WJ3RER9xtqwdhxkhw/edit?usp=sharing"",""สุพรรณบุรี!J113"")"),0)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IFERROR(__xludf.DUMMYFUNCTION("IMPORTRANGE(""https://docs.google.com/spreadsheets/d/1SX6NBoVAgQJ6U1MVXOaj8PK2l7WJ3RER9xtqwdhxkhw/edit?usp=sharing"",""สุพรรณบุรี!I114"")"),20000)</f>
        <v>20000</v>
      </c>
      <c r="J189" s="285">
        <f ca="1">IFERROR(__xludf.DUMMYFUNCTION("IMPORTRANGE(""https://docs.google.com/spreadsheets/d/1SX6NBoVAgQJ6U1MVXOaj8PK2l7WJ3RER9xtqwdhxkhw/edit?usp=sharing"",""สุพรรณบุรี!J114"")"),0)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IFERROR(__xludf.DUMMYFUNCTION("IMPORTRANGE(""https://docs.google.com/spreadsheets/d/1SX6NBoVAgQJ6U1MVXOaj8PK2l7WJ3RER9xtqwdhxkhw/edit?usp=sharing"",""สุพรรณบุรี!J119"")"),0)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IFERROR(__xludf.DUMMYFUNCTION("IMPORTRANGE(""https://docs.google.com/spreadsheets/d/1SX6NBoVAgQJ6U1MVXOaj8PK2l7WJ3RER9xtqwdhxkhw/edit?usp=sharing"",""สุพรรณบุรี!J120"")"),1)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IFERROR(__xludf.DUMMYFUNCTION("IMPORTRANGE(""https://docs.google.com/spreadsheets/d/1SX6NBoVAgQJ6U1MVXOaj8PK2l7WJ3RER9xtqwdhxkhw/edit?usp=sharing"",""สุพรรณบุรี!J121"")"),1)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IFERROR(__xludf.DUMMYFUNCTION("IMPORTRANGE(""https://docs.google.com/spreadsheets/d/1SX6NBoVAgQJ6U1MVXOaj8PK2l7WJ3RER9xtqwdhxkhw/edit?usp=sharing"",""สุพรรณบุรี!J122"")"),1)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IFERROR(__xludf.DUMMYFUNCTION("IMPORTRANGE(""https://docs.google.com/spreadsheets/d/1SX6NBoVAgQJ6U1MVXOaj8PK2l7WJ3RER9xtqwdhxkhw/edit?usp=sharing"",""สุพรรณบุรี!I124"")"),20000)</f>
        <v>20000</v>
      </c>
      <c r="J199" s="189">
        <f ca="1">IFERROR(__xludf.DUMMYFUNCTION("IMPORTRANGE(""https://docs.google.com/spreadsheets/d/1SX6NBoVAgQJ6U1MVXOaj8PK2l7WJ3RER9xtqwdhxkhw/edit?usp=sharing"",""สุพรรณบุรี!J124"")"),20000)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IFERROR(__xludf.DUMMYFUNCTION("IMPORTRANGE(""https://docs.google.com/spreadsheets/d/1SX6NBoVAgQJ6U1MVXOaj8PK2l7WJ3RER9xtqwdhxkhw/edit?usp=sharing"",""สุพรรณบุรี!I125"")"),20000)</f>
        <v>20000</v>
      </c>
      <c r="J200" s="189">
        <f ca="1">IFERROR(__xludf.DUMMYFUNCTION("IMPORTRANGE(""https://docs.google.com/spreadsheets/d/1SX6NBoVAgQJ6U1MVXOaj8PK2l7WJ3RER9xtqwdhxkhw/edit?usp=sharing"",""สุพรรณบุรี!J125"")"),0)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IFERROR(__xludf.DUMMYFUNCTION("IMPORTRANGE(""https://docs.google.com/spreadsheets/d/1SX6NBoVAgQJ6U1MVXOaj8PK2l7WJ3RER9xtqwdhxkhw/edit?usp=sharing"",""สุพรรณบุรี!I126"")"),0)</f>
        <v>0</v>
      </c>
      <c r="J201" s="189">
        <f ca="1">IFERROR(__xludf.DUMMYFUNCTION("IMPORTRANGE(""https://docs.google.com/spreadsheets/d/1SX6NBoVAgQJ6U1MVXOaj8PK2l7WJ3RER9xtqwdhxkhw/edit?usp=sharing"",""สุพรรณบุรี!J126"")"),0)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IFERROR(__xludf.DUMMYFUNCTION("IMPORTRANGE(""https://docs.google.com/spreadsheets/d/1SX6NBoVAgQJ6U1MVXOaj8PK2l7WJ3RER9xtqwdhxkhw/edit?usp=sharing"",""สุพรรณบุรี!J127"")"),0)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IFERROR(__xludf.DUMMYFUNCTION("IMPORTRANGE(""https://docs.google.com/spreadsheets/d/1SX6NBoVAgQJ6U1MVXOaj8PK2l7WJ3RER9xtqwdhxkhw/edit?usp=sharing"",""สุพรรณบุรี!J128"")"),0)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IFERROR(__xludf.DUMMYFUNCTION("IMPORTRANGE(""https://docs.google.com/spreadsheets/d/1SX6NBoVAgQJ6U1MVXOaj8PK2l7WJ3RER9xtqwdhxkhw/edit?usp=sharing"",""สุพรรณบุรี!I129"")"),0)</f>
        <v>0</v>
      </c>
      <c r="J204" s="285">
        <f ca="1">IFERROR(__xludf.DUMMYFUNCTION("IMPORTRANGE(""https://docs.google.com/spreadsheets/d/1SX6NBoVAgQJ6U1MVXOaj8PK2l7WJ3RER9xtqwdhxkhw/edit?usp=sharing"",""สุพรรณบุรี!J129"")"),0)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IFERROR(__xludf.DUMMYFUNCTION("IMPORTRANGE(""https://docs.google.com/spreadsheets/d/1SX6NBoVAgQJ6U1MVXOaj8PK2l7WJ3RER9xtqwdhxkhw/edit?usp=sharing"",""สุพรรณบุรี!J134"")"),0)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IFERROR(__xludf.DUMMYFUNCTION("IMPORTRANGE(""https://docs.google.com/spreadsheets/d/1SX6NBoVAgQJ6U1MVXOaj8PK2l7WJ3RER9xtqwdhxkhw/edit?usp=sharing"",""สุพรรณบุรี!J135"")"),0)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IFERROR(__xludf.DUMMYFUNCTION("IMPORTRANGE(""https://docs.google.com/spreadsheets/d/1SX6NBoVAgQJ6U1MVXOaj8PK2l7WJ3RER9xtqwdhxkhw/edit?usp=sharing"",""สุพรรณบุรี!J136"")"),0)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IFERROR(__xludf.DUMMYFUNCTION("IMPORTRANGE(""https://docs.google.com/spreadsheets/d/1SX6NBoVAgQJ6U1MVXOaj8PK2l7WJ3RER9xtqwdhxkhw/edit?usp=sharing"",""สุพรรณบุรี!J137"")"),0)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IFERROR(__xludf.DUMMYFUNCTION("IMPORTRANGE(""https://docs.google.com/spreadsheets/d/1SX6NBoVAgQJ6U1MVXOaj8PK2l7WJ3RER9xtqwdhxkhw/edit?usp=sharing"",""สุพรรณบุรี!I138"")"),0)</f>
        <v>0</v>
      </c>
      <c r="J213" s="204">
        <f ca="1">IFERROR(__xludf.DUMMYFUNCTION("IMPORTRANGE(""https://docs.google.com/spreadsheets/d/1SX6NBoVAgQJ6U1MVXOaj8PK2l7WJ3RER9xtqwdhxkhw/edit?usp=sharing"",""สุพรรณบุรี!J138"")"),0)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IFERROR(__xludf.DUMMYFUNCTION("IMPORTRANGE(""https://docs.google.com/spreadsheets/d/1SX6NBoVAgQJ6U1MVXOaj8PK2l7WJ3RER9xtqwdhxkhw/edit?usp=sharing"",""สุพรรณบุรี!I140"")"),0)</f>
        <v>0</v>
      </c>
      <c r="J215" s="204">
        <f ca="1">IFERROR(__xludf.DUMMYFUNCTION("IMPORTRANGE(""https://docs.google.com/spreadsheets/d/1SX6NBoVAgQJ6U1MVXOaj8PK2l7WJ3RER9xtqwdhxkhw/edit?usp=sharing"",""สุพรรณบุรี!J140"")"),0)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IFERROR(__xludf.DUMMYFUNCTION("IMPORTRANGE(""https://docs.google.com/spreadsheets/d/1SX6NBoVAgQJ6U1MVXOaj8PK2l7WJ3RER9xtqwdhxkhw/edit?usp=sharing"",""สุพรรณบุรี!I141"")"),0)</f>
        <v>0</v>
      </c>
      <c r="J216" s="204">
        <f ca="1">IFERROR(__xludf.DUMMYFUNCTION("IMPORTRANGE(""https://docs.google.com/spreadsheets/d/1SX6NBoVAgQJ6U1MVXOaj8PK2l7WJ3RER9xtqwdhxkhw/edit?usp=sharing"",""สุพรรณบุรี!J141"")"),0)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IFERROR(__xludf.DUMMYFUNCTION("IMPORTRANGE(""https://docs.google.com/spreadsheets/d/1SX6NBoVAgQJ6U1MVXOaj8PK2l7WJ3RER9xtqwdhxkhw/edit?usp=sharing"",""สุพรรณบุรี!J142"")"),0)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IFERROR(__xludf.DUMMYFUNCTION("IMPORTRANGE(""https://docs.google.com/spreadsheets/d/1SX6NBoVAgQJ6U1MVXOaj8PK2l7WJ3RER9xtqwdhxkhw/edit?usp=sharing"",""สุพรรณบุรี!J143"")"),0)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IFERROR(__xludf.DUMMYFUNCTION("IMPORTRANGE(""https://docs.google.com/spreadsheets/d/1SX6NBoVAgQJ6U1MVXOaj8PK2l7WJ3RER9xtqwdhxkhw/edit?usp=sharing"",""สุพรรณบุรี!I144"")"),15)</f>
        <v>15</v>
      </c>
      <c r="J219" s="268">
        <f ca="1">IFERROR(__xludf.DUMMYFUNCTION("IMPORTRANGE(""https://docs.google.com/spreadsheets/d/1SX6NBoVAgQJ6U1MVXOaj8PK2l7WJ3RER9xtqwdhxkhw/edit?usp=sharing"",""สุพรรณบุรี!J144"")"),15)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IFERROR(__xludf.DUMMYFUNCTION("IMPORTRANGE(""https://docs.google.com/spreadsheets/d/1Yj_ptqi66GCucihVvJfMjLAmec39IyEx_6qawtMGysU/edit?usp=sharing"",""สบก!BS78"")"),21125)</f>
        <v>21125</v>
      </c>
      <c r="N224" s="169">
        <f ca="1">IFERROR(__xludf.DUMMYFUNCTION("IMPORTRANGE(""https://docs.google.com/spreadsheets/d/1Yj_ptqi66GCucihVvJfMjLAmec39IyEx_6qawtMGysU/edit?usp=sharing"",""สบก!BT78"")"),21125)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IFERROR(__xludf.DUMMYFUNCTION("IMPORTRANGE(""https://docs.google.com/spreadsheets/d/1Yj_ptqi66GCucihVvJfMjLAmec39IyEx_6qawtMGysU/edit?usp=sharing"",""สบก!BP78"")"),21125)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IFERROR(__xludf.DUMMYFUNCTION("IMPORTRANGE(""https://docs.google.com/spreadsheets/d/1SX6NBoVAgQJ6U1MVXOaj8PK2l7WJ3RER9xtqwdhxkhw/edit?usp=sharing"",""สุพรรณบุรี!I149"")"),15)</f>
        <v>15</v>
      </c>
      <c r="J229" s="268">
        <f ca="1">IFERROR(__xludf.DUMMYFUNCTION("IMPORTRANGE(""https://docs.google.com/spreadsheets/d/1SX6NBoVAgQJ6U1MVXOaj8PK2l7WJ3RER9xtqwdhxkhw/edit?usp=sharing"",""สุพรรณบุรี!J149"")"),15)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IFERROR(__xludf.DUMMYFUNCTION("IMPORTRANGE(""https://docs.google.com/spreadsheets/d/1SX6NBoVAgQJ6U1MVXOaj8PK2l7WJ3RER9xtqwdhxkhw/edit?usp=sharing"",""สุพรรณบุรี!J151"")"),0)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IFERROR(__xludf.DUMMYFUNCTION("IMPORTRANGE(""https://docs.google.com/spreadsheets/d/1SX6NBoVAgQJ6U1MVXOaj8PK2l7WJ3RER9xtqwdhxkhw/edit?usp=sharing"",""สุพรรณบุรี!J152"")"),1)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IFERROR(__xludf.DUMMYFUNCTION("IMPORTRANGE(""https://docs.google.com/spreadsheets/d/1SX6NBoVAgQJ6U1MVXOaj8PK2l7WJ3RER9xtqwdhxkhw/edit?usp=sharing"",""สุพรรณบุรี!J153"")"),1)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IFERROR(__xludf.DUMMYFUNCTION("IMPORTRANGE(""https://docs.google.com/spreadsheets/d/1SX6NBoVAgQJ6U1MVXOaj8PK2l7WJ3RER9xtqwdhxkhw/edit?usp=sharing"",""สุพรรณบุรี!J154"")"),1)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IFERROR(__xludf.DUMMYFUNCTION("IMPORTRANGE(""https://docs.google.com/spreadsheets/d/1SX6NBoVAgQJ6U1MVXOaj8PK2l7WJ3RER9xtqwdhxkhw/edit?usp=sharing"",""สุพรรณบุรี!I155"")"),15)</f>
        <v>15</v>
      </c>
      <c r="J235" s="189">
        <f ca="1">IFERROR(__xludf.DUMMYFUNCTION("IMPORTRANGE(""https://docs.google.com/spreadsheets/d/1SX6NBoVAgQJ6U1MVXOaj8PK2l7WJ3RER9xtqwdhxkhw/edit?usp=sharing"",""สุพรรณบุรี!J155"")"),15)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IFERROR(__xludf.DUMMYFUNCTION("IMPORTRANGE(""https://docs.google.com/spreadsheets/d/1SX6NBoVAgQJ6U1MVXOaj8PK2l7WJ3RER9xtqwdhxkhw/edit?usp=sharing"",""สุพรรณบุรี!J156"")"),0)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IFERROR(__xludf.DUMMYFUNCTION("IMPORTRANGE(""https://docs.google.com/spreadsheets/d/1SX6NBoVAgQJ6U1MVXOaj8PK2l7WJ3RER9xtqwdhxkhw/edit?usp=sharing"",""สุพรรณบุรี!J157"")"),0)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IFERROR(__xludf.DUMMYFUNCTION("IMPORTRANGE(""https://docs.google.com/spreadsheets/d/1SX6NBoVAgQJ6U1MVXOaj8PK2l7WJ3RER9xtqwdhxkhw/edit?usp=sharing"",""สุพรรณบุรี!I158"")"),0)</f>
        <v>0</v>
      </c>
      <c r="J238" s="268">
        <f ca="1">IFERROR(__xludf.DUMMYFUNCTION("IMPORTRANGE(""https://docs.google.com/spreadsheets/d/1SX6NBoVAgQJ6U1MVXOaj8PK2l7WJ3RER9xtqwdhxkhw/edit?usp=sharing"",""สุพรรณบุรี!J158"")"),0)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IFERROR(__xludf.DUMMYFUNCTION("IMPORTRANGE(""https://docs.google.com/spreadsheets/d/1SX6NBoVAgQJ6U1MVXOaj8PK2l7WJ3RER9xtqwdhxkhw/edit?usp=sharing"",""สุพรรณบุรี!J159"")"),"")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IFERROR(__xludf.DUMMYFUNCTION("IMPORTRANGE(""https://docs.google.com/spreadsheets/d/1SX6NBoVAgQJ6U1MVXOaj8PK2l7WJ3RER9xtqwdhxkhw/edit?usp=sharing"",""สุพรรณบุรี!J161"")"),0)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IFERROR(__xludf.DUMMYFUNCTION("IMPORTRANGE(""https://docs.google.com/spreadsheets/d/1SX6NBoVAgQJ6U1MVXOaj8PK2l7WJ3RER9xtqwdhxkhw/edit?usp=sharing"",""สุพรรณบุรี!J162"")"),0)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IFERROR(__xludf.DUMMYFUNCTION("IMPORTRANGE(""https://docs.google.com/spreadsheets/d/1SX6NBoVAgQJ6U1MVXOaj8PK2l7WJ3RER9xtqwdhxkhw/edit?usp=sharing"",""สุพรรณบุรี!J163"")"),0)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IFERROR(__xludf.DUMMYFUNCTION("IMPORTRANGE(""https://docs.google.com/spreadsheets/d/1SX6NBoVAgQJ6U1MVXOaj8PK2l7WJ3RER9xtqwdhxkhw/edit?usp=sharing"",""สุพรรณบุรี!I164"")"),0)</f>
        <v>0</v>
      </c>
      <c r="J244" s="188">
        <f ca="1">IFERROR(__xludf.DUMMYFUNCTION("IMPORTRANGE(""https://docs.google.com/spreadsheets/d/1SX6NBoVAgQJ6U1MVXOaj8PK2l7WJ3RER9xtqwdhxkhw/edit?usp=sharing"",""สุพรรณบุรี!J164"")"),0)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IFERROR(__xludf.DUMMYFUNCTION("IMPORTRANGE(""https://docs.google.com/spreadsheets/d/1SX6NBoVAgQJ6U1MVXOaj8PK2l7WJ3RER9xtqwdhxkhw/edit?usp=sharing"",""สุพรรณบุรี!J165"")"),0)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IFERROR(__xludf.DUMMYFUNCTION("IMPORTRANGE(""https://docs.google.com/spreadsheets/d/1SX6NBoVAgQJ6U1MVXOaj8PK2l7WJ3RER9xtqwdhxkhw/edit?usp=sharing"",""สุพรรณบุรี!J166"")"),0)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IFERROR(__xludf.DUMMYFUNCTION("IMPORTRANGE(""https://docs.google.com/spreadsheets/d/1SX6NBoVAgQJ6U1MVXOaj8PK2l7WJ3RER9xtqwdhxkhw/edit?usp=sharing"",""สุพรรณบุรี!I169"")"),20)</f>
        <v>20</v>
      </c>
      <c r="J249" s="317">
        <f ca="1">IFERROR(__xludf.DUMMYFUNCTION("IMPORTRANGE(""https://docs.google.com/spreadsheets/d/1SX6NBoVAgQJ6U1MVXOaj8PK2l7WJ3RER9xtqwdhxkhw/edit?usp=sharing"",""สุพรรณบุรี!J169"")"),20)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40140</v>
      </c>
      <c r="O250" s="151">
        <f t="shared" ref="O250:O252" ca="1" si="78">IF(L250&gt;0,N250*100/L250,0)</f>
        <v>56.218487394957982</v>
      </c>
      <c r="P250" s="151">
        <f t="shared" ref="P250:P252" ca="1" si="79">IF(M250&gt;0,N250*100/M250,0)</f>
        <v>95.571428571428569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40140</v>
      </c>
      <c r="O252" s="156">
        <f t="shared" ca="1" si="78"/>
        <v>56.218487394957982</v>
      </c>
      <c r="P252" s="156">
        <f t="shared" ca="1" si="79"/>
        <v>95.571428571428569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IFERROR(__xludf.DUMMYFUNCTION("IMPORTRANGE(""https://docs.google.com/spreadsheets/d/1Yj_ptqi66GCucihVvJfMjLAmec39IyEx_6qawtMGysU/edit?usp=sharing"",""สบก!CB78"")"),42000)</f>
        <v>42000</v>
      </c>
      <c r="N254" s="169">
        <f ca="1">IFERROR(__xludf.DUMMYFUNCTION("IMPORTRANGE(""https://docs.google.com/spreadsheets/d/1Yj_ptqi66GCucihVvJfMjLAmec39IyEx_6qawtMGysU/edit?usp=sharing"",""สบก!CC78"")"),40140)</f>
        <v>40140</v>
      </c>
      <c r="O254" s="169">
        <f ca="1">IF(L254&gt;0,N254*100/L254,0)</f>
        <v>56.218487394957982</v>
      </c>
      <c r="P254" s="169">
        <f ca="1">IF(M254&gt;0,N254*100/M254,0)</f>
        <v>95.571428571428569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IFERROR(__xludf.DUMMYFUNCTION("IMPORTRANGE(""https://docs.google.com/spreadsheets/d/1Yj_ptqi66GCucihVvJfMjLAmec39IyEx_6qawtMGysU/edit?usp=sharing"",""สบก!BX78"")"),0)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IFERROR(__xludf.DUMMYFUNCTION("IMPORTRANGE(""https://docs.google.com/spreadsheets/d/1Yj_ptqi66GCucihVvJfMjLAmec39IyEx_6qawtMGysU/edit?usp=sharing"",""สบก!BY78"")"),71400)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IFERROR(__xludf.DUMMYFUNCTION("IMPORTRANGE(""https://docs.google.com/spreadsheets/d/1SX6NBoVAgQJ6U1MVXOaj8PK2l7WJ3RER9xtqwdhxkhw/edit?usp=sharing"",""สุพรรณบุรี!J175"")"),0)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IFERROR(__xludf.DUMMYFUNCTION("IMPORTRANGE(""https://docs.google.com/spreadsheets/d/1SX6NBoVAgQJ6U1MVXOaj8PK2l7WJ3RER9xtqwdhxkhw/edit?usp=sharing"",""สุพรรณบุรี!J176"")"),1)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IFERROR(__xludf.DUMMYFUNCTION("IMPORTRANGE(""https://docs.google.com/spreadsheets/d/1SX6NBoVAgQJ6U1MVXOaj8PK2l7WJ3RER9xtqwdhxkhw/edit?usp=sharing"",""สุพรรณบุรี!J177"")"),1)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IFERROR(__xludf.DUMMYFUNCTION("IMPORTRANGE(""https://docs.google.com/spreadsheets/d/1SX6NBoVAgQJ6U1MVXOaj8PK2l7WJ3RER9xtqwdhxkhw/edit?usp=sharing"",""สุพรรณบุรี!J178"")"),1)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IFERROR(__xludf.DUMMYFUNCTION("IMPORTRANGE(""https://docs.google.com/spreadsheets/d/1SX6NBoVAgQJ6U1MVXOaj8PK2l7WJ3RER9xtqwdhxkhw/edit?usp=sharing"",""สุพรรณบุรี!I179"")"),1)</f>
        <v>1</v>
      </c>
      <c r="J264" s="189">
        <f ca="1">IFERROR(__xludf.DUMMYFUNCTION("IMPORTRANGE(""https://docs.google.com/spreadsheets/d/1SX6NBoVAgQJ6U1MVXOaj8PK2l7WJ3RER9xtqwdhxkhw/edit?usp=sharing"",""สุพรรณบุรี!J179"")"),1)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IFERROR(__xludf.DUMMYFUNCTION("IMPORTRANGE(""https://docs.google.com/spreadsheets/d/1SX6NBoVAgQJ6U1MVXOaj8PK2l7WJ3RER9xtqwdhxkhw/edit?usp=sharing"",""สุพรรณบุรี!I180"")"),20)</f>
        <v>20</v>
      </c>
      <c r="J265" s="189">
        <f ca="1">IFERROR(__xludf.DUMMYFUNCTION("IMPORTRANGE(""https://docs.google.com/spreadsheets/d/1SX6NBoVAgQJ6U1MVXOaj8PK2l7WJ3RER9xtqwdhxkhw/edit?usp=sharing"",""สุพรรณบุรี!J180"")"),20)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IFERROR(__xludf.DUMMYFUNCTION("IMPORTRANGE(""https://docs.google.com/spreadsheets/d/1SX6NBoVAgQJ6U1MVXOaj8PK2l7WJ3RER9xtqwdhxkhw/edit?usp=sharing"",""สุพรรณบุรี!I181"")"),20)</f>
        <v>20</v>
      </c>
      <c r="J266" s="189">
        <f ca="1">IFERROR(__xludf.DUMMYFUNCTION("IMPORTRANGE(""https://docs.google.com/spreadsheets/d/1SX6NBoVAgQJ6U1MVXOaj8PK2l7WJ3RER9xtqwdhxkhw/edit?usp=sharing"",""สุพรรณบุรี!J181"")"),0)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IFERROR(__xludf.DUMMYFUNCTION("IMPORTRANGE(""https://docs.google.com/spreadsheets/d/1SX6NBoVAgQJ6U1MVXOaj8PK2l7WJ3RER9xtqwdhxkhw/edit?usp=sharing"",""สุพรรณบุรี!I182"")"),1)</f>
        <v>1</v>
      </c>
      <c r="J267" s="189">
        <f ca="1">IFERROR(__xludf.DUMMYFUNCTION("IMPORTRANGE(""https://docs.google.com/spreadsheets/d/1SX6NBoVAgQJ6U1MVXOaj8PK2l7WJ3RER9xtqwdhxkhw/edit?usp=sharing"",""สุพรรณบุรี!J182"")"),1)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IFERROR(__xludf.DUMMYFUNCTION("IMPORTRANGE(""https://docs.google.com/spreadsheets/d/1SX6NBoVAgQJ6U1MVXOaj8PK2l7WJ3RER9xtqwdhxkhw/edit?usp=sharing"",""สุพรรณบุรี!J183"")"),0)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IFERROR(__xludf.DUMMYFUNCTION("IMPORTRANGE(""https://docs.google.com/spreadsheets/d/1SX6NBoVAgQJ6U1MVXOaj8PK2l7WJ3RER9xtqwdhxkhw/edit?usp=sharing"",""สุพรรณบุรี!J184"")"),0)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IFERROR(__xludf.DUMMYFUNCTION("IMPORTRANGE(""https://docs.google.com/spreadsheets/d/1SX6NBoVAgQJ6U1MVXOaj8PK2l7WJ3RER9xtqwdhxkhw/edit?usp=sharing"",""สุพรรณบุรี!I185"")"),15)</f>
        <v>15</v>
      </c>
      <c r="J270" s="317">
        <f ca="1">IFERROR(__xludf.DUMMYFUNCTION("IMPORTRANGE(""https://docs.google.com/spreadsheets/d/1SX6NBoVAgQJ6U1MVXOaj8PK2l7WJ3RER9xtqwdhxkhw/edit?usp=sharing"",""สุพรรณบุรี!J185"")"),15)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75279</v>
      </c>
      <c r="O271" s="151">
        <f t="shared" ref="O271:O273" ca="1" si="84">IF(L271&gt;0,N271*100/L271,0)</f>
        <v>71.219489120151366</v>
      </c>
      <c r="P271" s="151">
        <f t="shared" ref="P271:P273" ca="1" si="85">IF(M271&gt;0,N271*100/M271,0)</f>
        <v>94.098749999999995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105700</v>
      </c>
      <c r="M273" s="157">
        <f t="shared" ca="1" si="87"/>
        <v>80000</v>
      </c>
      <c r="N273" s="157">
        <f t="shared" ca="1" si="87"/>
        <v>75279</v>
      </c>
      <c r="O273" s="156">
        <f t="shared" ca="1" si="84"/>
        <v>71.219489120151366</v>
      </c>
      <c r="P273" s="156">
        <f t="shared" ca="1" si="85"/>
        <v>94.098749999999995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105700</v>
      </c>
      <c r="M275" s="168">
        <f ca="1">IFERROR(__xludf.DUMMYFUNCTION("IMPORTRANGE(""https://docs.google.com/spreadsheets/d/1Yj_ptqi66GCucihVvJfMjLAmec39IyEx_6qawtMGysU/edit?usp=sharing"",""สบก!CK78"")"),80000)</f>
        <v>80000</v>
      </c>
      <c r="N275" s="169">
        <f ca="1">IFERROR(__xludf.DUMMYFUNCTION("IMPORTRANGE(""https://docs.google.com/spreadsheets/d/1Yj_ptqi66GCucihVvJfMjLAmec39IyEx_6qawtMGysU/edit?usp=sharing"",""สบก!CL78"")"),75279)</f>
        <v>75279</v>
      </c>
      <c r="O275" s="169">
        <f ca="1">IF(L275&gt;0,N275*100/L275,0)</f>
        <v>71.219489120151366</v>
      </c>
      <c r="P275" s="169">
        <f ca="1">IF(M275&gt;0,N275*100/M275,0)</f>
        <v>94.098749999999995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IFERROR(__xludf.DUMMYFUNCTION("IMPORTRANGE(""https://docs.google.com/spreadsheets/d/1Yj_ptqi66GCucihVvJfMjLAmec39IyEx_6qawtMGysU/edit?usp=sharing"",""สบก!CH78"")"),105700)</f>
        <v>105700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IFERROR(__xludf.DUMMYFUNCTION("IMPORTRANGE(""https://docs.google.com/spreadsheets/d/1SX6NBoVAgQJ6U1MVXOaj8PK2l7WJ3RER9xtqwdhxkhw/edit?usp=sharing"",""สุพรรณบุรี!J191"")"),0)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IFERROR(__xludf.DUMMYFUNCTION("IMPORTRANGE(""https://docs.google.com/spreadsheets/d/1SX6NBoVAgQJ6U1MVXOaj8PK2l7WJ3RER9xtqwdhxkhw/edit?usp=sharing"",""สุพรรณบุรี!J192"")"),1)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IFERROR(__xludf.DUMMYFUNCTION("IMPORTRANGE(""https://docs.google.com/spreadsheets/d/1SX6NBoVAgQJ6U1MVXOaj8PK2l7WJ3RER9xtqwdhxkhw/edit?usp=sharing"",""สุพรรณบุรี!J193"")"),1)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IFERROR(__xludf.DUMMYFUNCTION("IMPORTRANGE(""https://docs.google.com/spreadsheets/d/1SX6NBoVAgQJ6U1MVXOaj8PK2l7WJ3RER9xtqwdhxkhw/edit?usp=sharing"",""สุพรรณบุรี!J194"")"),1)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IFERROR(__xludf.DUMMYFUNCTION("IMPORTRANGE(""https://docs.google.com/spreadsheets/d/1SX6NBoVAgQJ6U1MVXOaj8PK2l7WJ3RER9xtqwdhxkhw/edit?usp=sharing"",""สุพรรณบุรี!I195"")"),15)</f>
        <v>15</v>
      </c>
      <c r="J285" s="189">
        <f ca="1">IFERROR(__xludf.DUMMYFUNCTION("IMPORTRANGE(""https://docs.google.com/spreadsheets/d/1SX6NBoVAgQJ6U1MVXOaj8PK2l7WJ3RER9xtqwdhxkhw/edit?usp=sharing"",""สุพรรณบุรี!J195"")"),15)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IFERROR(__xludf.DUMMYFUNCTION("IMPORTRANGE(""https://docs.google.com/spreadsheets/d/1SX6NBoVAgQJ6U1MVXOaj8PK2l7WJ3RER9xtqwdhxkhw/edit?usp=sharing"",""สุพรรณบุรี!J196"")"),0)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IFERROR(__xludf.DUMMYFUNCTION("IMPORTRANGE(""https://docs.google.com/spreadsheets/d/1SX6NBoVAgQJ6U1MVXOaj8PK2l7WJ3RER9xtqwdhxkhw/edit?usp=sharing"",""สุพรรณบุรี!J197"")"),0)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IFERROR(__xludf.DUMMYFUNCTION("IMPORTRANGE(""https://docs.google.com/spreadsheets/d/1SX6NBoVAgQJ6U1MVXOaj8PK2l7WJ3RER9xtqwdhxkhw/edit?usp=sharing"",""สุพรรณบุรี!I199"")"),0)</f>
        <v>0</v>
      </c>
      <c r="J289" s="317">
        <f ca="1">IFERROR(__xludf.DUMMYFUNCTION("IMPORTRANGE(""https://docs.google.com/spreadsheets/d/1SX6NBoVAgQJ6U1MVXOaj8PK2l7WJ3RER9xtqwdhxkhw/edit?usp=sharing"",""สุพรรณบุรี!J199"")"),0)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IFERROR(__xludf.DUMMYFUNCTION("IMPORTRANGE(""https://docs.google.com/spreadsheets/d/1Yj_ptqi66GCucihVvJfMjLAmec39IyEx_6qawtMGysU/edit?usp=sharing"",""สบก!CT78"")"),0)</f>
        <v>0</v>
      </c>
      <c r="N294" s="169">
        <f ca="1">IFERROR(__xludf.DUMMYFUNCTION("IMPORTRANGE(""https://docs.google.com/spreadsheets/d/1Yj_ptqi66GCucihVvJfMjLAmec39IyEx_6qawtMGysU/edit?usp=sharing"",""สบก!CU78"")"),0)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IFERROR(__xludf.DUMMYFUNCTION("IMPORTRANGE(""https://docs.google.com/spreadsheets/d/1Yj_ptqi66GCucihVvJfMjLAmec39IyEx_6qawtMGysU/edit?usp=sharing"",""สบก!CQ78"")"),0)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IFERROR(__xludf.DUMMYFUNCTION("IMPORTRANGE(""https://docs.google.com/spreadsheets/d/1SX6NBoVAgQJ6U1MVXOaj8PK2l7WJ3RER9xtqwdhxkhw/edit?usp=sharing"",""สุพรรณบุรี!J205"")"),0)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IFERROR(__xludf.DUMMYFUNCTION("IMPORTRANGE(""https://docs.google.com/spreadsheets/d/1SX6NBoVAgQJ6U1MVXOaj8PK2l7WJ3RER9xtqwdhxkhw/edit?usp=sharing"",""สุพรรณบุรี!J206"")"),0)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IFERROR(__xludf.DUMMYFUNCTION("IMPORTRANGE(""https://docs.google.com/spreadsheets/d/1SX6NBoVAgQJ6U1MVXOaj8PK2l7WJ3RER9xtqwdhxkhw/edit?usp=sharing"",""สุพรรณบุรี!J207"")"),0)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IFERROR(__xludf.DUMMYFUNCTION("IMPORTRANGE(""https://docs.google.com/spreadsheets/d/1SX6NBoVAgQJ6U1MVXOaj8PK2l7WJ3RER9xtqwdhxkhw/edit?usp=sharing"",""สุพรรณบุรี!J208"")"),0)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IFERROR(__xludf.DUMMYFUNCTION("IMPORTRANGE(""https://docs.google.com/spreadsheets/d/1SX6NBoVAgQJ6U1MVXOaj8PK2l7WJ3RER9xtqwdhxkhw/edit?usp=sharing"",""สุพรรณบุรี!I209"")"),0)</f>
        <v>0</v>
      </c>
      <c r="J304" s="204">
        <f ca="1">IFERROR(__xludf.DUMMYFUNCTION("IMPORTRANGE(""https://docs.google.com/spreadsheets/d/1SX6NBoVAgQJ6U1MVXOaj8PK2l7WJ3RER9xtqwdhxkhw/edit?usp=sharing"",""สุพรรณบุรี!J209"")"),0)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IFERROR(__xludf.DUMMYFUNCTION("IMPORTRANGE(""https://docs.google.com/spreadsheets/d/1SX6NBoVAgQJ6U1MVXOaj8PK2l7WJ3RER9xtqwdhxkhw/edit?usp=sharing"",""สุพรรณบุรี!I211"")"),0)</f>
        <v>0</v>
      </c>
      <c r="J306" s="204">
        <f ca="1">IFERROR(__xludf.DUMMYFUNCTION("IMPORTRANGE(""https://docs.google.com/spreadsheets/d/1SX6NBoVAgQJ6U1MVXOaj8PK2l7WJ3RER9xtqwdhxkhw/edit?usp=sharing"",""สุพรรณบุรี!J211"")"),0)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IFERROR(__xludf.DUMMYFUNCTION("IMPORTRANGE(""https://docs.google.com/spreadsheets/d/1SX6NBoVAgQJ6U1MVXOaj8PK2l7WJ3RER9xtqwdhxkhw/edit?usp=sharing"",""สุพรรณบุรี!J212"")"),0)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IFERROR(__xludf.DUMMYFUNCTION("IMPORTRANGE(""https://docs.google.com/spreadsheets/d/1SX6NBoVAgQJ6U1MVXOaj8PK2l7WJ3RER9xtqwdhxkhw/edit?usp=sharing"",""สุพรรณบุรี!J213"")"),0)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IFERROR(__xludf.DUMMYFUNCTION("IMPORTRANGE(""https://docs.google.com/spreadsheets/d/1SX6NBoVAgQJ6U1MVXOaj8PK2l7WJ3RER9xtqwdhxkhw/edit?usp=sharing"",""สุพรรณบุรี!I214"")"),0)</f>
        <v>0</v>
      </c>
      <c r="J309" s="334">
        <f ca="1">IFERROR(__xludf.DUMMYFUNCTION("IMPORTRANGE(""https://docs.google.com/spreadsheets/d/1SX6NBoVAgQJ6U1MVXOaj8PK2l7WJ3RER9xtqwdhxkhw/edit?usp=sharing"",""สุพรรณบุรี!J214"")"),0)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IFERROR(__xludf.DUMMYFUNCTION("IMPORTRANGE(""https://docs.google.com/spreadsheets/d/1Yj_ptqi66GCucihVvJfMjLAmec39IyEx_6qawtMGysU/edit?usp=sharing"",""สบก!DC78"")"),0)</f>
        <v>0</v>
      </c>
      <c r="N314" s="169">
        <f ca="1">IFERROR(__xludf.DUMMYFUNCTION("IMPORTRANGE(""https://docs.google.com/spreadsheets/d/1Yj_ptqi66GCucihVvJfMjLAmec39IyEx_6qawtMGysU/edit?usp=sharing"",""สบก!DD78"")"),0)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IFERROR(__xludf.DUMMYFUNCTION("IMPORTRANGE(""https://docs.google.com/spreadsheets/d/1Yj_ptqi66GCucihVvJfMjLAmec39IyEx_6qawtMGysU/edit?usp=sharing"",""สบก!CZ78"")"),0)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IFERROR(__xludf.DUMMYFUNCTION("IMPORTRANGE(""https://docs.google.com/spreadsheets/d/1SX6NBoVAgQJ6U1MVXOaj8PK2l7WJ3RER9xtqwdhxkhw/edit?usp=sharing"",""สุพรรณบุรี!J220"")"),0)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IFERROR(__xludf.DUMMYFUNCTION("IMPORTRANGE(""https://docs.google.com/spreadsheets/d/1SX6NBoVAgQJ6U1MVXOaj8PK2l7WJ3RER9xtqwdhxkhw/edit?usp=sharing"",""สุพรรณบุรี!J221"")"),0)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IFERROR(__xludf.DUMMYFUNCTION("IMPORTRANGE(""https://docs.google.com/spreadsheets/d/1SX6NBoVAgQJ6U1MVXOaj8PK2l7WJ3RER9xtqwdhxkhw/edit?usp=sharing"",""สุพรรณบุรี!J222"")"),0)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IFERROR(__xludf.DUMMYFUNCTION("IMPORTRANGE(""https://docs.google.com/spreadsheets/d/1SX6NBoVAgQJ6U1MVXOaj8PK2l7WJ3RER9xtqwdhxkhw/edit?usp=sharing"",""สุพรรณบุรี!J223"")"),0)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IFERROR(__xludf.DUMMYFUNCTION("IMPORTRANGE(""https://docs.google.com/spreadsheets/d/1SX6NBoVAgQJ6U1MVXOaj8PK2l7WJ3RER9xtqwdhxkhw/edit?usp=sharing"",""สุพรรณบุรี!I224"")"),0)</f>
        <v>0</v>
      </c>
      <c r="J324" s="204">
        <f ca="1">IFERROR(__xludf.DUMMYFUNCTION("IMPORTRANGE(""https://docs.google.com/spreadsheets/d/1SX6NBoVAgQJ6U1MVXOaj8PK2l7WJ3RER9xtqwdhxkhw/edit?usp=sharing"",""สุพรรณบุรี!J224"")"),0)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IFERROR(__xludf.DUMMYFUNCTION("IMPORTRANGE(""https://docs.google.com/spreadsheets/d/1SX6NBoVAgQJ6U1MVXOaj8PK2l7WJ3RER9xtqwdhxkhw/edit?usp=sharing"",""สุพรรณบุรี!J225"")"),0)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IFERROR(__xludf.DUMMYFUNCTION("IMPORTRANGE(""https://docs.google.com/spreadsheets/d/1SX6NBoVAgQJ6U1MVXOaj8PK2l7WJ3RER9xtqwdhxkhw/edit?usp=sharing"",""สุพรรณบุรี!J226"")"),0)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IFERROR(__xludf.DUMMYFUNCTION("IMPORTRANGE(""https://docs.google.com/spreadsheets/d/1SX6NBoVAgQJ6U1MVXOaj8PK2l7WJ3RER9xtqwdhxkhw/edit?usp=sharing"",""สุพรรณบุรี!I228"")"),322)</f>
        <v>322</v>
      </c>
      <c r="J328" s="340">
        <f ca="1">IFERROR(__xludf.DUMMYFUNCTION("IMPORTRANGE(""https://docs.google.com/spreadsheets/d/1SX6NBoVAgQJ6U1MVXOaj8PK2l7WJ3RER9xtqwdhxkhw/edit?usp=sharing"",""สุพรรณบุรี!J228"")"),268)</f>
        <v>268</v>
      </c>
      <c r="K328" s="318">
        <f ca="1">IF(I328&gt;0,J328*100/I328,0)</f>
        <v>83.229813664596278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981940</v>
      </c>
      <c r="M329" s="152">
        <f t="shared" ca="1" si="98"/>
        <v>770100</v>
      </c>
      <c r="N329" s="152">
        <f t="shared" ca="1" si="98"/>
        <v>542326.76</v>
      </c>
      <c r="O329" s="151">
        <f t="shared" ref="O329:O331" ca="1" si="99">IF(L329&gt;0,N329*100/L329,0)</f>
        <v>55.230132187302686</v>
      </c>
      <c r="P329" s="151">
        <f t="shared" ref="P329:P331" ca="1" si="100">IF(M329&gt;0,N329*100/M329,0)</f>
        <v>70.422900921958188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981940</v>
      </c>
      <c r="M331" s="157">
        <f t="shared" ca="1" si="102"/>
        <v>770100</v>
      </c>
      <c r="N331" s="157">
        <f t="shared" ca="1" si="102"/>
        <v>542326.76</v>
      </c>
      <c r="O331" s="156">
        <f t="shared" ca="1" si="99"/>
        <v>55.230132187302686</v>
      </c>
      <c r="P331" s="156">
        <f t="shared" ca="1" si="100"/>
        <v>70.422900921958188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971940</v>
      </c>
      <c r="M333" s="168">
        <f ca="1">IFERROR(__xludf.DUMMYFUNCTION("IMPORTRANGE(""https://docs.google.com/spreadsheets/d/1Yj_ptqi66GCucihVvJfMjLAmec39IyEx_6qawtMGysU/edit?usp=sharing"",""สบก!DL78"")"),760100)</f>
        <v>760100</v>
      </c>
      <c r="N333" s="169">
        <f ca="1">IFERROR(__xludf.DUMMYFUNCTION("IMPORTRANGE(""https://docs.google.com/spreadsheets/d/1Yj_ptqi66GCucihVvJfMjLAmec39IyEx_6qawtMGysU/edit?usp=sharing"",""สบก!DM78"")"),532326.76)</f>
        <v>532326.76</v>
      </c>
      <c r="O333" s="169">
        <f ca="1">IF(L333&gt;0,N333*100/L333,0)</f>
        <v>54.769508405868677</v>
      </c>
      <c r="P333" s="169">
        <f ca="1">IF(M333&gt;0,N333*100/M333,0)</f>
        <v>70.033779765820285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IFERROR(__xludf.DUMMYFUNCTION("IMPORTRANGE(""https://docs.google.com/spreadsheets/d/1Yj_ptqi66GCucihVvJfMjLAmec39IyEx_6qawtMGysU/edit?usp=sharing"",""สบก!DH78"")"),583200)</f>
        <v>583200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IFERROR(__xludf.DUMMYFUNCTION("IMPORTRANGE(""https://docs.google.com/spreadsheets/d/1Yj_ptqi66GCucihVvJfMjLAmec39IyEx_6qawtMGysU/edit?usp=sharing"",""สบก!DI78"")"),388740)</f>
        <v>388740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IFERROR(__xludf.DUMMYFUNCTION("IMPORTRANGE(""https://docs.google.com/spreadsheets/d/1SX6NBoVAgQJ6U1MVXOaj8PK2l7WJ3RER9xtqwdhxkhw/edit?usp=sharing"",""สุพรรณบุรี!I234"")"),0)</f>
        <v>0</v>
      </c>
      <c r="J339" s="188">
        <f ca="1">IFERROR(__xludf.DUMMYFUNCTION("IMPORTRANGE(""https://docs.google.com/spreadsheets/d/1SX6NBoVAgQJ6U1MVXOaj8PK2l7WJ3RER9xtqwdhxkhw/edit?usp=sharing"",""สุพรรณบุรี!J234"")"),238)</f>
        <v>238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IFERROR(__xludf.DUMMYFUNCTION("IMPORTRANGE(""https://docs.google.com/spreadsheets/d/1SX6NBoVAgQJ6U1MVXOaj8PK2l7WJ3RER9xtqwdhxkhw/edit?usp=sharing"",""สุพรรณบุรี!I235"")"),1500)</f>
        <v>1500</v>
      </c>
      <c r="J340" s="188">
        <f ca="1">IFERROR(__xludf.DUMMYFUNCTION("IMPORTRANGE(""https://docs.google.com/spreadsheets/d/1SX6NBoVAgQJ6U1MVXOaj8PK2l7WJ3RER9xtqwdhxkhw/edit?usp=sharing"",""สุพรรณบุรี!J235"")"),1553.26)</f>
        <v>1553.26</v>
      </c>
      <c r="K340" s="343">
        <f t="shared" ca="1" si="103"/>
        <v>103.55066666666667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IFERROR(__xludf.DUMMYFUNCTION("IMPORTRANGE(""https://docs.google.com/spreadsheets/d/1SX6NBoVAgQJ6U1MVXOaj8PK2l7WJ3RER9xtqwdhxkhw/edit?usp=sharing"",""สุพรรณบุรี!I236"")"),322)</f>
        <v>322</v>
      </c>
      <c r="J341" s="188">
        <f ca="1">IFERROR(__xludf.DUMMYFUNCTION("IMPORTRANGE(""https://docs.google.com/spreadsheets/d/1SX6NBoVAgQJ6U1MVXOaj8PK2l7WJ3RER9xtqwdhxkhw/edit?usp=sharing"",""สุพรรณบุรี!J236"")"),259)</f>
        <v>259</v>
      </c>
      <c r="K341" s="343">
        <f t="shared" ca="1" si="103"/>
        <v>80.434782608695656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8">
        <f ca="1">IFERROR(__xludf.DUMMYFUNCTION("IMPORTRANGE(""https://docs.google.com/spreadsheets/d/1SX6NBoVAgQJ6U1MVXOaj8PK2l7WJ3RER9xtqwdhxkhw/edit?usp=sharing"",""สุพรรณบุรี!J237"")"),2843.97)</f>
        <v>2843.97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IFERROR(__xludf.DUMMYFUNCTION("IMPORTRANGE(""https://docs.google.com/spreadsheets/d/1SX6NBoVAgQJ6U1MVXOaj8PK2l7WJ3RER9xtqwdhxkhw/edit?usp=sharing"",""สุพรรณบุรี!I238"")"),322)</f>
        <v>322</v>
      </c>
      <c r="J343" s="188">
        <f ca="1">IFERROR(__xludf.DUMMYFUNCTION("IMPORTRANGE(""https://docs.google.com/spreadsheets/d/1SX6NBoVAgQJ6U1MVXOaj8PK2l7WJ3RER9xtqwdhxkhw/edit?usp=sharing"",""สุพรรณบุรี!J238"")"),4)</f>
        <v>4</v>
      </c>
      <c r="K343" s="343">
        <f t="shared" ca="1" si="103"/>
        <v>1.2422360248447204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8">
        <f ca="1">IFERROR(__xludf.DUMMYFUNCTION("IMPORTRANGE(""https://docs.google.com/spreadsheets/d/1SX6NBoVAgQJ6U1MVXOaj8PK2l7WJ3RER9xtqwdhxkhw/edit?usp=sharing"",""สุพรรณบุรี!J239"")"),14.96)</f>
        <v>14.96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IFERROR(__xludf.DUMMYFUNCTION("IMPORTRANGE(""https://docs.google.com/spreadsheets/d/1SX6NBoVAgQJ6U1MVXOaj8PK2l7WJ3RER9xtqwdhxkhw/edit?usp=sharing"",""สุพรรณบุรี!I240"")"),322)</f>
        <v>322</v>
      </c>
      <c r="J345" s="188">
        <f ca="1">IFERROR(__xludf.DUMMYFUNCTION("IMPORTRANGE(""https://docs.google.com/spreadsheets/d/1SX6NBoVAgQJ6U1MVXOaj8PK2l7WJ3RER9xtqwdhxkhw/edit?usp=sharing"",""สุพรรณบุรี!J240"")"),268)</f>
        <v>268</v>
      </c>
      <c r="K345" s="343">
        <f t="shared" ca="1" si="103"/>
        <v>83.229813664596278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8">
        <f ca="1">IFERROR(__xludf.DUMMYFUNCTION("IMPORTRANGE(""https://docs.google.com/spreadsheets/d/1SX6NBoVAgQJ6U1MVXOaj8PK2l7WJ3RER9xtqwdhxkhw/edit?usp=sharing"",""สุพรรณบุรี!J241"")"),2855.62)</f>
        <v>2855.62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IFERROR(__xludf.DUMMYFUNCTION("IMPORTRANGE(""https://docs.google.com/spreadsheets/d/1SX6NBoVAgQJ6U1MVXOaj8PK2l7WJ3RER9xtqwdhxkhw/edit?usp=sharing"",""สุพรรณบุรี!L242"")"),2600695)</f>
        <v>2600695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IFERROR(__xludf.DUMMYFUNCTION("IMPORTRANGE(""https://docs.google.com/spreadsheets/d/1SX6NBoVAgQJ6U1MVXOaj8PK2l7WJ3RER9xtqwdhxkhw/edit?usp=sharing"",""สุพรรณบุรี!M242"")"),1310516.93)</f>
        <v>1310516.93</v>
      </c>
      <c r="O347" s="358">
        <f ca="1">+IF(L347&gt;0,N347*100/L347,0)</f>
        <v>50.391027398445416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IFERROR(__xludf.DUMMYFUNCTION("IMPORTRANGE(""https://docs.google.com/spreadsheets/d/1SX6NBoVAgQJ6U1MVXOaj8PK2l7WJ3RER9xtqwdhxkhw/edit?usp=sharing"",""สุพรรณบุรี!J244"")"),63)</f>
        <v>63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IFERROR(__xludf.DUMMYFUNCTION("IMPORTRANGE(""https://docs.google.com/spreadsheets/d/1SX6NBoVAgQJ6U1MVXOaj8PK2l7WJ3RER9xtqwdhxkhw/edit?usp=sharing"",""สุพรรณบุรี!M244"")"),206420)</f>
        <v>206420</v>
      </c>
      <c r="O349" s="373">
        <f ca="1">+IF(L349&gt;0,N349*100/L349,0)</f>
        <v>69.774202271498112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IFERROR(__xludf.DUMMYFUNCTION("IMPORTRANGE(""https://docs.google.com/spreadsheets/d/1SX6NBoVAgQJ6U1MVXOaj8PK2l7WJ3RER9xtqwdhxkhw/edit?usp=sharing"",""สุพรรณบุรี!J245"")"),42)</f>
        <v>42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IFERROR(__xludf.DUMMYFUNCTION("IMPORTRANGE(""https://docs.google.com/spreadsheets/d/1SX6NBoVAgQJ6U1MVXOaj8PK2l7WJ3RER9xtqwdhxkhw/edit?usp=sharing"",""สุพรรณบุรี!L246"")"),0)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IFERROR(__xludf.DUMMYFUNCTION("IMPORTRANGE(""https://docs.google.com/spreadsheets/d/1SX6NBoVAgQJ6U1MVXOaj8PK2l7WJ3RER9xtqwdhxkhw/edit?usp=sharing"",""สุพรรณบุรี!M246"")"),0)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5"/>
      <c r="N352" s="164">
        <f ca="1">IFERROR(__xludf.DUMMYFUNCTION("IMPORTRANGE(""https://docs.google.com/spreadsheets/d/1SX6NBoVAgQJ6U1MVXOaj8PK2l7WJ3RER9xtqwdhxkhw/edit?usp=sharing"",""สุพรรณบุรี!M247"")"),206420)</f>
        <v>206420</v>
      </c>
      <c r="O352" s="165">
        <f t="shared" ca="1" si="105"/>
        <v>69.774202271498112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IFERROR(__xludf.DUMMYFUNCTION("IMPORTRANGE(""https://docs.google.com/spreadsheets/d/1SX6NBoVAgQJ6U1MVXOaj8PK2l7WJ3RER9xtqwdhxkhw/edit?usp=sharing"",""สุพรรณบุรี!L248"")"),0)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IFERROR(__xludf.DUMMYFUNCTION("IMPORTRANGE(""https://docs.google.com/spreadsheets/d/1SX6NBoVAgQJ6U1MVXOaj8PK2l7WJ3RER9xtqwdhxkhw/edit?usp=sharing"",""สุพรรณบุรี!M248"")"),0)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IFERROR(__xludf.DUMMYFUNCTION("IMPORTRANGE(""https://docs.google.com/spreadsheets/d/1SX6NBoVAgQJ6U1MVXOaj8PK2l7WJ3RER9xtqwdhxkhw/edit?usp=sharing"",""สุพรรณบุรี!L249"")"),295840)</f>
        <v>295840</v>
      </c>
      <c r="M354" s="169"/>
      <c r="N354" s="168">
        <f ca="1">IFERROR(__xludf.DUMMYFUNCTION("IMPORTRANGE(""https://docs.google.com/spreadsheets/d/1SX6NBoVAgQJ6U1MVXOaj8PK2l7WJ3RER9xtqwdhxkhw/edit?usp=sharing"",""สุพรรณบุรี!M249"")"),206420)</f>
        <v>206420</v>
      </c>
      <c r="O354" s="169">
        <f t="shared" ca="1" si="105"/>
        <v>69.774202271498112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IFERROR(__xludf.DUMMYFUNCTION("IMPORTRANGE(""https://docs.google.com/spreadsheets/d/1SX6NBoVAgQJ6U1MVXOaj8PK2l7WJ3RER9xtqwdhxkhw/edit?usp=sharing"",""สุพรรณบุรี!M250"")"),52680)</f>
        <v>52680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IFERROR(__xludf.DUMMYFUNCTION("IMPORTRANGE(""https://docs.google.com/spreadsheets/d/1SX6NBoVAgQJ6U1MVXOaj8PK2l7WJ3RER9xtqwdhxkhw/edit?usp=sharing"",""สุพรรณบุรี!M251"")"),65100)</f>
        <v>65100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IFERROR(__xludf.DUMMYFUNCTION("IMPORTRANGE(""https://docs.google.com/spreadsheets/d/1SX6NBoVAgQJ6U1MVXOaj8PK2l7WJ3RER9xtqwdhxkhw/edit?usp=sharing"",""สุพรรณบุรี!M252"")"),77000)</f>
        <v>77000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IFERROR(__xludf.DUMMYFUNCTION("IMPORTRANGE(""https://docs.google.com/spreadsheets/d/1SX6NBoVAgQJ6U1MVXOaj8PK2l7WJ3RER9xtqwdhxkhw/edit?usp=sharing"",""สุพรรณบุรี!M253"")"),11640)</f>
        <v>11640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IFERROR(__xludf.DUMMYFUNCTION("IMPORTRANGE(""https://docs.google.com/spreadsheets/d/1SX6NBoVAgQJ6U1MVXOaj8PK2l7WJ3RER9xtqwdhxkhw/edit?usp=sharing"",""สุพรรณบุรี!J255"")"),0)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IFERROR(__xludf.DUMMYFUNCTION("IMPORTRANGE(""https://docs.google.com/spreadsheets/d/1SX6NBoVAgQJ6U1MVXOaj8PK2l7WJ3RER9xtqwdhxkhw/edit?usp=sharing"",""สุพรรณบุรี!J256"")"),1)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IFERROR(__xludf.DUMMYFUNCTION("IMPORTRANGE(""https://docs.google.com/spreadsheets/d/1SX6NBoVAgQJ6U1MVXOaj8PK2l7WJ3RER9xtqwdhxkhw/edit?usp=sharing"",""สุพรรณบุรี!J257"")"),1)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IFERROR(__xludf.DUMMYFUNCTION("IMPORTRANGE(""https://docs.google.com/spreadsheets/d/1SX6NBoVAgQJ6U1MVXOaj8PK2l7WJ3RER9xtqwdhxkhw/edit?usp=sharing"",""สุพรรณบุรี!J258"")"),1)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IFERROR(__xludf.DUMMYFUNCTION("IMPORTRANGE(""https://docs.google.com/spreadsheets/d/1SX6NBoVAgQJ6U1MVXOaj8PK2l7WJ3RER9xtqwdhxkhw/edit?usp=sharing"",""สุพรรณบุรี!J166"")"),0)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IFERROR(__xludf.DUMMYFUNCTION("IMPORTRANGE(""https://docs.google.com/spreadsheets/d/1SX6NBoVAgQJ6U1MVXOaj8PK2l7WJ3RER9xtqwdhxkhw/edit?usp=sharing"",""สุพรรณบุรี!J166"")"),0)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IFERROR(__xludf.DUMMYFUNCTION("IMPORTRANGE(""https://docs.google.com/spreadsheets/d/1SX6NBoVAgQJ6U1MVXOaj8PK2l7WJ3RER9xtqwdhxkhw/edit?usp=sharing"",""สุพรรณบุรี!J166"")"),0)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IFERROR(__xludf.DUMMYFUNCTION("IMPORTRANGE(""https://docs.google.com/spreadsheets/d/1SX6NBoVAgQJ6U1MVXOaj8PK2l7WJ3RER9xtqwdhxkhw/edit?usp=sharing"",""สุพรรณบุรี!J166"")"),0)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IFERROR(__xludf.DUMMYFUNCTION("IMPORTRANGE(""https://docs.google.com/spreadsheets/d/1SX6NBoVAgQJ6U1MVXOaj8PK2l7WJ3RER9xtqwdhxkhw/edit?usp=sharing"",""สุพรรณบุรี!I263"")"),42)</f>
        <v>42</v>
      </c>
      <c r="J368" s="188">
        <f ca="1">IFERROR(__xludf.DUMMYFUNCTION("IMPORTRANGE(""https://docs.google.com/spreadsheets/d/1SX6NBoVAgQJ6U1MVXOaj8PK2l7WJ3RER9xtqwdhxkhw/edit?usp=sharing"",""สุพรรณบุรี!J263"")"),42)</f>
        <v>42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IFERROR(__xludf.DUMMYFUNCTION("IMPORTRANGE(""https://docs.google.com/spreadsheets/d/1SX6NBoVAgQJ6U1MVXOaj8PK2l7WJ3RER9xtqwdhxkhw/edit?usp=sharing"",""สุพรรณบุรี!I164"")"),0)</f>
        <v>0</v>
      </c>
      <c r="J369" s="204">
        <f ca="1">IFERROR(__xludf.DUMMYFUNCTION("IMPORTRANGE(""https://docs.google.com/spreadsheets/d/1SX6NBoVAgQJ6U1MVXOaj8PK2l7WJ3RER9xtqwdhxkhw/edit?usp=sharing"",""สุพรรณบุรี!J164"")"),0)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IFERROR(__xludf.DUMMYFUNCTION("IMPORTRANGE(""https://docs.google.com/spreadsheets/d/1SX6NBoVAgQJ6U1MVXOaj8PK2l7WJ3RER9xtqwdhxkhw/edit?usp=sharing"",""สุพรรณบุรี!I265"")"),42)</f>
        <v>42</v>
      </c>
      <c r="J370" s="204">
        <f ca="1">IFERROR(__xludf.DUMMYFUNCTION("IMPORTRANGE(""https://docs.google.com/spreadsheets/d/1SX6NBoVAgQJ6U1MVXOaj8PK2l7WJ3RER9xtqwdhxkhw/edit?usp=sharing"",""สุพรรณบุรี!J265"")"),42)</f>
        <v>42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IFERROR(__xludf.DUMMYFUNCTION("IMPORTRANGE(""https://docs.google.com/spreadsheets/d/1SX6NBoVAgQJ6U1MVXOaj8PK2l7WJ3RER9xtqwdhxkhw/edit?usp=sharing"",""สุพรรณบุรี!I164"")"),0)</f>
        <v>0</v>
      </c>
      <c r="J371" s="189">
        <f ca="1">IFERROR(__xludf.DUMMYFUNCTION("IMPORTRANGE(""https://docs.google.com/spreadsheets/d/1SX6NBoVAgQJ6U1MVXOaj8PK2l7WJ3RER9xtqwdhxkhw/edit?usp=sharing"",""สุพรรณบุรี!J164"")"),0)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IFERROR(__xludf.DUMMYFUNCTION("IMPORTRANGE(""https://docs.google.com/spreadsheets/d/1SX6NBoVAgQJ6U1MVXOaj8PK2l7WJ3RER9xtqwdhxkhw/edit?usp=sharing"",""สุพรรณบุรี!I267"")"),42)</f>
        <v>42</v>
      </c>
      <c r="J372" s="189">
        <f ca="1">IFERROR(__xludf.DUMMYFUNCTION("IMPORTRANGE(""https://docs.google.com/spreadsheets/d/1SX6NBoVAgQJ6U1MVXOaj8PK2l7WJ3RER9xtqwdhxkhw/edit?usp=sharing"",""สุพรรณบุรี!J267"")"),42)</f>
        <v>42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IFERROR(__xludf.DUMMYFUNCTION("IMPORTRANGE(""https://docs.google.com/spreadsheets/d/1SX6NBoVAgQJ6U1MVXOaj8PK2l7WJ3RER9xtqwdhxkhw/edit?usp=sharing"",""สุพรรณบุรี!I164"")"),0)</f>
        <v>0</v>
      </c>
      <c r="J373" s="204">
        <f ca="1">IFERROR(__xludf.DUMMYFUNCTION("IMPORTRANGE(""https://docs.google.com/spreadsheets/d/1SX6NBoVAgQJ6U1MVXOaj8PK2l7WJ3RER9xtqwdhxkhw/edit?usp=sharing"",""สุพรรณบุรี!J164"")"),0)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IFERROR(__xludf.DUMMYFUNCTION("IMPORTRANGE(""https://docs.google.com/spreadsheets/d/1SX6NBoVAgQJ6U1MVXOaj8PK2l7WJ3RER9xtqwdhxkhw/edit?usp=sharing"",""สุพรรณบุรี!I164"")"),0)</f>
        <v>0</v>
      </c>
      <c r="J374" s="188">
        <f ca="1">IFERROR(__xludf.DUMMYFUNCTION("IMPORTRANGE(""https://docs.google.com/spreadsheets/d/1SX6NBoVAgQJ6U1MVXOaj8PK2l7WJ3RER9xtqwdhxkhw/edit?usp=sharing"",""สุพรรณบุรี!J164"")"),0)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IFERROR(__xludf.DUMMYFUNCTION("IMPORTRANGE(""https://docs.google.com/spreadsheets/d/1SX6NBoVAgQJ6U1MVXOaj8PK2l7WJ3RER9xtqwdhxkhw/edit?usp=sharing"",""สุพรรณบุรี!I270"")"),63)</f>
        <v>63</v>
      </c>
      <c r="J375" s="188">
        <f ca="1">IFERROR(__xludf.DUMMYFUNCTION("IMPORTRANGE(""https://docs.google.com/spreadsheets/d/1SX6NBoVAgQJ6U1MVXOaj8PK2l7WJ3RER9xtqwdhxkhw/edit?usp=sharing"",""สุพรรณบุรี!J270"")"),63)</f>
        <v>63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IFERROR(__xludf.DUMMYFUNCTION("IMPORTRANGE(""https://docs.google.com/spreadsheets/d/1SX6NBoVAgQJ6U1MVXOaj8PK2l7WJ3RER9xtqwdhxkhw/edit?usp=sharing"",""สุพรรณบุรี!I271"")"),20)</f>
        <v>20</v>
      </c>
      <c r="J376" s="189">
        <f ca="1">IFERROR(__xludf.DUMMYFUNCTION("IMPORTRANGE(""https://docs.google.com/spreadsheets/d/1SX6NBoVAgQJ6U1MVXOaj8PK2l7WJ3RER9xtqwdhxkhw/edit?usp=sharing"",""สุพรรณบุรี!J271"")"),20)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IFERROR(__xludf.DUMMYFUNCTION("IMPORTRANGE(""https://docs.google.com/spreadsheets/d/1SX6NBoVAgQJ6U1MVXOaj8PK2l7WJ3RER9xtqwdhxkhw/edit?usp=sharing"",""สุพรรณบุรี!I272"")"),43)</f>
        <v>43</v>
      </c>
      <c r="J377" s="204">
        <f ca="1">IFERROR(__xludf.DUMMYFUNCTION("IMPORTRANGE(""https://docs.google.com/spreadsheets/d/1SX6NBoVAgQJ6U1MVXOaj8PK2l7WJ3RER9xtqwdhxkhw/edit?usp=sharing"",""สุพรรณบุรี!J272"")"),43)</f>
        <v>43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IFERROR(__xludf.DUMMYFUNCTION("IMPORTRANGE(""https://docs.google.com/spreadsheets/d/1SX6NBoVAgQJ6U1MVXOaj8PK2l7WJ3RER9xtqwdhxkhw/edit?usp=sharing"",""สุพรรณบุรี!J273"")"),0)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IFERROR(__xludf.DUMMYFUNCTION("IMPORTRANGE(""https://docs.google.com/spreadsheets/d/1SX6NBoVAgQJ6U1MVXOaj8PK2l7WJ3RER9xtqwdhxkhw/edit?usp=sharing"",""สุพรรณบุรี!J274"")"),0)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IFERROR(__xludf.DUMMYFUNCTION("IMPORTRANGE(""https://docs.google.com/spreadsheets/d/1SX6NBoVAgQJ6U1MVXOaj8PK2l7WJ3RER9xtqwdhxkhw/edit?usp=sharing"",""สุพรรณบุรี!M275"")"),325191.95)</f>
        <v>325191.95</v>
      </c>
      <c r="O380" s="373">
        <f ca="1">+IF(L380&gt;0,N380*100/L380,0)</f>
        <v>31.617464901022828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IFERROR(__xludf.DUMMYFUNCTION("IMPORTRANGE(""https://docs.google.com/spreadsheets/d/1SX6NBoVAgQJ6U1MVXOaj8PK2l7WJ3RER9xtqwdhxkhw/edit?usp=sharing"",""สุพรรณบุรี!L277"")"),0)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IFERROR(__xludf.DUMMYFUNCTION("IMPORTRANGE(""https://docs.google.com/spreadsheets/d/1SX6NBoVAgQJ6U1MVXOaj8PK2l7WJ3RER9xtqwdhxkhw/edit?usp=sharing"",""สุพรรณบุรี!M277"")"),0)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IFERROR(__xludf.DUMMYFUNCTION("IMPORTRANGE(""https://docs.google.com/spreadsheets/d/1SX6NBoVAgQJ6U1MVXOaj8PK2l7WJ3RER9xtqwdhxkhw/edit?usp=sharing"",""สุพรรณบุรี!M278"")"),325191.95)</f>
        <v>325191.95</v>
      </c>
      <c r="O383" s="165">
        <f t="shared" ca="1" si="109"/>
        <v>31.617464901022828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IFERROR(__xludf.DUMMYFUNCTION("IMPORTRANGE(""https://docs.google.com/spreadsheets/d/1SX6NBoVAgQJ6U1MVXOaj8PK2l7WJ3RER9xtqwdhxkhw/edit?usp=sharing"",""สุพรรณบุรี!L279"")"),0)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IFERROR(__xludf.DUMMYFUNCTION("IMPORTRANGE(""https://docs.google.com/spreadsheets/d/1SX6NBoVAgQJ6U1MVXOaj8PK2l7WJ3RER9xtqwdhxkhw/edit?usp=sharing"",""สุพรรณบุรี!M279"")"),0)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IFERROR(__xludf.DUMMYFUNCTION("IMPORTRANGE(""https://docs.google.com/spreadsheets/d/1SX6NBoVAgQJ6U1MVXOaj8PK2l7WJ3RER9xtqwdhxkhw/edit?usp=sharing"",""สุพรรณบุรี!M280"")"),325191.95)</f>
        <v>325191.95</v>
      </c>
      <c r="O385" s="169">
        <f t="shared" ca="1" si="109"/>
        <v>31.617464901022828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IFERROR(__xludf.DUMMYFUNCTION("IMPORTRANGE(""https://docs.google.com/spreadsheets/d/1SX6NBoVAgQJ6U1MVXOaj8PK2l7WJ3RER9xtqwdhxkhw/edit?usp=sharing"",""สุพรรณบุรี!M281"")"),198000)</f>
        <v>198000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IFERROR(__xludf.DUMMYFUNCTION("IMPORTRANGE(""https://docs.google.com/spreadsheets/d/1SX6NBoVAgQJ6U1MVXOaj8PK2l7WJ3RER9xtqwdhxkhw/edit?usp=sharing"",""สุพรรณบุรี!M282"")"),0)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IFERROR(__xludf.DUMMYFUNCTION("IMPORTRANGE(""https://docs.google.com/spreadsheets/d/1SX6NBoVAgQJ6U1MVXOaj8PK2l7WJ3RER9xtqwdhxkhw/edit?usp=sharing"",""สุพรรณบุรี!M283"")"),100271.95)</f>
        <v>100271.95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IFERROR(__xludf.DUMMYFUNCTION("IMPORTRANGE(""https://docs.google.com/spreadsheets/d/1SX6NBoVAgQJ6U1MVXOaj8PK2l7WJ3RER9xtqwdhxkhw/edit?usp=sharing"",""สุพรรณบุรี!M284"")"),26920)</f>
        <v>26920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IFERROR(__xludf.DUMMYFUNCTION("IMPORTRANGE(""https://docs.google.com/spreadsheets/d/1SX6NBoVAgQJ6U1MVXOaj8PK2l7WJ3RER9xtqwdhxkhw/edit?usp=sharing"",""สุพรรณบุรี!J286"")"),0)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IFERROR(__xludf.DUMMYFUNCTION("IMPORTRANGE(""https://docs.google.com/spreadsheets/d/1SX6NBoVAgQJ6U1MVXOaj8PK2l7WJ3RER9xtqwdhxkhw/edit?usp=sharing"",""สุพรรณบุรี!J287"")"),1)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IFERROR(__xludf.DUMMYFUNCTION("IMPORTRANGE(""https://docs.google.com/spreadsheets/d/1SX6NBoVAgQJ6U1MVXOaj8PK2l7WJ3RER9xtqwdhxkhw/edit?usp=sharing"",""สุพรรณบุรี!J288"")"),1)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IFERROR(__xludf.DUMMYFUNCTION("IMPORTRANGE(""https://docs.google.com/spreadsheets/d/1SX6NBoVAgQJ6U1MVXOaj8PK2l7WJ3RER9xtqwdhxkhw/edit?usp=sharing"",""สุพรรณบุรี!J289"")"),1)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IFERROR(__xludf.DUMMYFUNCTION("IMPORTRANGE(""https://docs.google.com/spreadsheets/d/1SX6NBoVAgQJ6U1MVXOaj8PK2l7WJ3RER9xtqwdhxkhw/edit?usp=sharing"",""สุพรรณบุรี!I291"")"),100)</f>
        <v>100</v>
      </c>
      <c r="J396" s="198">
        <f ca="1">IFERROR(__xludf.DUMMYFUNCTION("IMPORTRANGE(""https://docs.google.com/spreadsheets/d/1SX6NBoVAgQJ6U1MVXOaj8PK2l7WJ3RER9xtqwdhxkhw/edit?usp=sharing"",""สุพรรณบุรี!J291"")"),100)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IFERROR(__xludf.DUMMYFUNCTION("IMPORTRANGE(""https://docs.google.com/spreadsheets/d/1SX6NBoVAgQJ6U1MVXOaj8PK2l7WJ3RER9xtqwdhxkhw/edit?usp=sharing"",""สุพรรณบุรี!I292"")"),1000)</f>
        <v>1000</v>
      </c>
      <c r="J397" s="198">
        <f ca="1">IFERROR(__xludf.DUMMYFUNCTION("IMPORTRANGE(""https://docs.google.com/spreadsheets/d/1SX6NBoVAgQJ6U1MVXOaj8PK2l7WJ3RER9xtqwdhxkhw/edit?usp=sharing"",""สุพรรณบุรี!J292"")"),0)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IFERROR(__xludf.DUMMYFUNCTION("IMPORTRANGE(""https://docs.google.com/spreadsheets/d/1SX6NBoVAgQJ6U1MVXOaj8PK2l7WJ3RER9xtqwdhxkhw/edit?usp=sharing"",""สุพรรณบุรี!I293"")"),100)</f>
        <v>100</v>
      </c>
      <c r="J398" s="198">
        <f ca="1">IFERROR(__xludf.DUMMYFUNCTION("IMPORTRANGE(""https://docs.google.com/spreadsheets/d/1SX6NBoVAgQJ6U1MVXOaj8PK2l7WJ3RER9xtqwdhxkhw/edit?usp=sharing"",""สุพรรณบุรี!J293"")"),0)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IFERROR(__xludf.DUMMYFUNCTION("IMPORTRANGE(""https://docs.google.com/spreadsheets/d/1SX6NBoVAgQJ6U1MVXOaj8PK2l7WJ3RER9xtqwdhxkhw/edit?usp=sharing"",""สุพรรณบุรี!J294"")"),0)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IFERROR(__xludf.DUMMYFUNCTION("IMPORTRANGE(""https://docs.google.com/spreadsheets/d/1SX6NBoVAgQJ6U1MVXOaj8PK2l7WJ3RER9xtqwdhxkhw/edit?usp=sharing"",""สุพรรณบุรี!J295"")"),0)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IFERROR(__xludf.DUMMYFUNCTION("IMPORTRANGE(""https://docs.google.com/spreadsheets/d/1SX6NBoVAgQJ6U1MVXOaj8PK2l7WJ3RER9xtqwdhxkhw/edit?usp=sharing"",""สุพรรณบุรี!J296"")"),30)</f>
        <v>30</v>
      </c>
      <c r="K401" s="372">
        <f t="shared" ref="K401:K402" ca="1" si="111">IF(I401&gt;0,J401*100/I401,0)</f>
        <v>16.666666666666668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IFERROR(__xludf.DUMMYFUNCTION("IMPORTRANGE(""https://docs.google.com/spreadsheets/d/1SX6NBoVAgQJ6U1MVXOaj8PK2l7WJ3RER9xtqwdhxkhw/edit?usp=sharing"",""สุพรรณบุรี!M296"")"),139580)</f>
        <v>139580</v>
      </c>
      <c r="O401" s="373">
        <f ca="1">+IF(L401&gt;0,N401*100/L401,0)</f>
        <v>74.825774632786533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IFERROR(__xludf.DUMMYFUNCTION("IMPORTRANGE(""https://docs.google.com/spreadsheets/d/1SX6NBoVAgQJ6U1MVXOaj8PK2l7WJ3RER9xtqwdhxkhw/edit?usp=sharing"",""สุพรรณบุรี!L298"")"),0)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IFERROR(__xludf.DUMMYFUNCTION("IMPORTRANGE(""https://docs.google.com/spreadsheets/d/1SX6NBoVAgQJ6U1MVXOaj8PK2l7WJ3RER9xtqwdhxkhw/edit?usp=sharing"",""สุพรรณบุรี!M298"")"),0)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5"/>
      <c r="N404" s="169">
        <f ca="1">IFERROR(__xludf.DUMMYFUNCTION("IMPORTRANGE(""https://docs.google.com/spreadsheets/d/1SX6NBoVAgQJ6U1MVXOaj8PK2l7WJ3RER9xtqwdhxkhw/edit?usp=sharing"",""สุพรรณบุรี!M299"")"),139580)</f>
        <v>139580</v>
      </c>
      <c r="O404" s="169">
        <f t="shared" ca="1" si="112"/>
        <v>74.825774632786533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IFERROR(__xludf.DUMMYFUNCTION("IMPORTRANGE(""https://docs.google.com/spreadsheets/d/1SX6NBoVAgQJ6U1MVXOaj8PK2l7WJ3RER9xtqwdhxkhw/edit?usp=sharing"",""สุพรรณบุรี!L300"")"),0)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IFERROR(__xludf.DUMMYFUNCTION("IMPORTRANGE(""https://docs.google.com/spreadsheets/d/1SX6NBoVAgQJ6U1MVXOaj8PK2l7WJ3RER9xtqwdhxkhw/edit?usp=sharing"",""สุพรรณบุรี!M300"")"),0)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IFERROR(__xludf.DUMMYFUNCTION("IMPORTRANGE(""https://docs.google.com/spreadsheets/d/1SX6NBoVAgQJ6U1MVXOaj8PK2l7WJ3RER9xtqwdhxkhw/edit?usp=sharing"",""สุพรรณบุรี!L301"")"),186540)</f>
        <v>186540</v>
      </c>
      <c r="M406" s="169"/>
      <c r="N406" s="169">
        <f ca="1">IFERROR(__xludf.DUMMYFUNCTION("IMPORTRANGE(""https://docs.google.com/spreadsheets/d/1SX6NBoVAgQJ6U1MVXOaj8PK2l7WJ3RER9xtqwdhxkhw/edit?usp=sharing"",""สุพรรณบุรี!M301"")"),139580)</f>
        <v>139580</v>
      </c>
      <c r="O406" s="169">
        <f t="shared" ca="1" si="112"/>
        <v>74.825774632786533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IFERROR(__xludf.DUMMYFUNCTION("IMPORTRANGE(""https://docs.google.com/spreadsheets/d/1SX6NBoVAgQJ6U1MVXOaj8PK2l7WJ3RER9xtqwdhxkhw/edit?usp=sharing"",""สุพรรณบุรี!M302"")"),121200)</f>
        <v>121200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IFERROR(__xludf.DUMMYFUNCTION("IMPORTRANGE(""https://docs.google.com/spreadsheets/d/1SX6NBoVAgQJ6U1MVXOaj8PK2l7WJ3RER9xtqwdhxkhw/edit?usp=sharing"",""สุพรรณบุรี!M303"")"),0)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IFERROR(__xludf.DUMMYFUNCTION("IMPORTRANGE(""https://docs.google.com/spreadsheets/d/1SX6NBoVAgQJ6U1MVXOaj8PK2l7WJ3RER9xtqwdhxkhw/edit?usp=sharing"",""สุพรรณบุรี!M305"")"),18380)</f>
        <v>18380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IFERROR(__xludf.DUMMYFUNCTION("IMPORTRANGE(""https://docs.google.com/spreadsheets/d/1SX6NBoVAgQJ6U1MVXOaj8PK2l7WJ3RER9xtqwdhxkhw/edit?usp=sharing"",""สุพรรณบุรี!J307"")"),0)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IFERROR(__xludf.DUMMYFUNCTION("IMPORTRANGE(""https://docs.google.com/spreadsheets/d/1SX6NBoVAgQJ6U1MVXOaj8PK2l7WJ3RER9xtqwdhxkhw/edit?usp=sharing"",""สุพรรณบุรี!J308"")"),1)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IFERROR(__xludf.DUMMYFUNCTION("IMPORTRANGE(""https://docs.google.com/spreadsheets/d/1SX6NBoVAgQJ6U1MVXOaj8PK2l7WJ3RER9xtqwdhxkhw/edit?usp=sharing"",""สุพรรณบุรี!J309"")"),1)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IFERROR(__xludf.DUMMYFUNCTION("IMPORTRANGE(""https://docs.google.com/spreadsheets/d/1SX6NBoVAgQJ6U1MVXOaj8PK2l7WJ3RER9xtqwdhxkhw/edit?usp=sharing"",""สุพรรณบุรี!J310"")"),1)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IFERROR(__xludf.DUMMYFUNCTION("IMPORTRANGE(""https://docs.google.com/spreadsheets/d/1SX6NBoVAgQJ6U1MVXOaj8PK2l7WJ3RER9xtqwdhxkhw/edit?usp=sharing"",""สุพรรณบุรี!I311"")"),60)</f>
        <v>60</v>
      </c>
      <c r="J416" s="201">
        <f ca="1">IFERROR(__xludf.DUMMYFUNCTION("IMPORTRANGE(""https://docs.google.com/spreadsheets/d/1SX6NBoVAgQJ6U1MVXOaj8PK2l7WJ3RER9xtqwdhxkhw/edit?usp=sharing"",""สุพรรณบุรี!J311"")"),60)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IFERROR(__xludf.DUMMYFUNCTION("IMPORTRANGE(""https://docs.google.com/spreadsheets/d/1SX6NBoVAgQJ6U1MVXOaj8PK2l7WJ3RER9xtqwdhxkhw/edit?usp=sharing"",""สุพรรณบุรี!J328"")"),0)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IFERROR(__xludf.DUMMYFUNCTION("IMPORTRANGE(""https://docs.google.com/spreadsheets/d/1SX6NBoVAgQJ6U1MVXOaj8PK2l7WJ3RER9xtqwdhxkhw/edit?usp=sharing"",""สุพรรณบุรี!J329"")"),0)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IFERROR(__xludf.DUMMYFUNCTION("IMPORTRANGE(""https://docs.google.com/spreadsheets/d/1SX6NBoVAgQJ6U1MVXOaj8PK2l7WJ3RER9xtqwdhxkhw/edit?usp=sharing"",""สุพรรณบุรี!M330"")"),166500)</f>
        <v>166500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IFERROR(__xludf.DUMMYFUNCTION("IMPORTRANGE(""https://docs.google.com/spreadsheets/d/1SX6NBoVAgQJ6U1MVXOaj8PK2l7WJ3RER9xtqwdhxkhw/edit?usp=sharing"",""สุพรรณบุรี!L331"")"),0)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IFERROR(__xludf.DUMMYFUNCTION("IMPORTRANGE(""https://docs.google.com/spreadsheets/d/1SX6NBoVAgQJ6U1MVXOaj8PK2l7WJ3RER9xtqwdhxkhw/edit?usp=sharing"",""สุพรรณบุรี!M331"")"),0)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5"/>
      <c r="N437" s="169">
        <f ca="1">IFERROR(__xludf.DUMMYFUNCTION("IMPORTRANGE(""https://docs.google.com/spreadsheets/d/1SX6NBoVAgQJ6U1MVXOaj8PK2l7WJ3RER9xtqwdhxkhw/edit?usp=sharing"",""สุพรรณบุรี!M332"")"),166500)</f>
        <v>166500</v>
      </c>
      <c r="O437" s="169">
        <f t="shared" ca="1" si="114"/>
        <v>100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IFERROR(__xludf.DUMMYFUNCTION("IMPORTRANGE(""https://docs.google.com/spreadsheets/d/1SX6NBoVAgQJ6U1MVXOaj8PK2l7WJ3RER9xtqwdhxkhw/edit?usp=sharing"",""สุพรรณบุรี!L333"")"),0)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IFERROR(__xludf.DUMMYFUNCTION("IMPORTRANGE(""https://docs.google.com/spreadsheets/d/1SX6NBoVAgQJ6U1MVXOaj8PK2l7WJ3RER9xtqwdhxkhw/edit?usp=sharing"",""สุพรรณบุรี!M333"")"),0)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IFERROR(__xludf.DUMMYFUNCTION("IMPORTRANGE(""https://docs.google.com/spreadsheets/d/1SX6NBoVAgQJ6U1MVXOaj8PK2l7WJ3RER9xtqwdhxkhw/edit?usp=sharing"",""สุพรรณบุรี!L334"")"),166500)</f>
        <v>166500</v>
      </c>
      <c r="M439" s="169"/>
      <c r="N439" s="169">
        <f ca="1">IFERROR(__xludf.DUMMYFUNCTION("IMPORTRANGE(""https://docs.google.com/spreadsheets/d/1SX6NBoVAgQJ6U1MVXOaj8PK2l7WJ3RER9xtqwdhxkhw/edit?usp=sharing"",""สุพรรณบุรี!M334"")"),166500)</f>
        <v>166500</v>
      </c>
      <c r="O439" s="169">
        <f t="shared" ca="1" si="114"/>
        <v>100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IFERROR(__xludf.DUMMYFUNCTION("IMPORTRANGE(""https://docs.google.com/spreadsheets/d/1SX6NBoVAgQJ6U1MVXOaj8PK2l7WJ3RER9xtqwdhxkhw/edit?usp=sharing"",""สุพรรณบุรี!M335"")"),122700)</f>
        <v>122700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IFERROR(__xludf.DUMMYFUNCTION("IMPORTRANGE(""https://docs.google.com/spreadsheets/d/1SX6NBoVAgQJ6U1MVXOaj8PK2l7WJ3RER9xtqwdhxkhw/edit?usp=sharing"",""สุพรรณบุรี!M338"")"),43800)</f>
        <v>43800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IFERROR(__xludf.DUMMYFUNCTION("IMPORTRANGE(""https://docs.google.com/spreadsheets/d/1SX6NBoVAgQJ6U1MVXOaj8PK2l7WJ3RER9xtqwdhxkhw/edit?usp=sharing"",""สุพรรณบุรี!J340"")"),0)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IFERROR(__xludf.DUMMYFUNCTION("IMPORTRANGE(""https://docs.google.com/spreadsheets/d/1SX6NBoVAgQJ6U1MVXOaj8PK2l7WJ3RER9xtqwdhxkhw/edit?usp=sharing"",""สุพรรณบุรี!J341"")"),1)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IFERROR(__xludf.DUMMYFUNCTION("IMPORTRANGE(""https://docs.google.com/spreadsheets/d/1SX6NBoVAgQJ6U1MVXOaj8PK2l7WJ3RER9xtqwdhxkhw/edit?usp=sharing"",""สุพรรณบุรี!J342"")"),1)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IFERROR(__xludf.DUMMYFUNCTION("IMPORTRANGE(""https://docs.google.com/spreadsheets/d/1SX6NBoVAgQJ6U1MVXOaj8PK2l7WJ3RER9xtqwdhxkhw/edit?usp=sharing"",""สุพรรณบุรี!J343"")"),1)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1">
        <f ca="1">IFERROR(__xludf.DUMMYFUNCTION("IMPORTRANGE(""https://docs.google.com/spreadsheets/d/1SX6NBoVAgQJ6U1MVXOaj8PK2l7WJ3RER9xtqwdhxkhw/edit?usp=sharing"",""สุพรรณบุรี!J344"")"),45)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IFERROR(__xludf.DUMMYFUNCTION("IMPORTRANGE(""https://docs.google.com/spreadsheets/d/1SX6NBoVAgQJ6U1MVXOaj8PK2l7WJ3RER9xtqwdhxkhw/edit?usp=sharing"",""สุพรรณบุรี!I345"")"),15)</f>
        <v>15</v>
      </c>
      <c r="J450" s="189">
        <f ca="1">IFERROR(__xludf.DUMMYFUNCTION("IMPORTRANGE(""https://docs.google.com/spreadsheets/d/1SX6NBoVAgQJ6U1MVXOaj8PK2l7WJ3RER9xtqwdhxkhw/edit?usp=sharing"",""สุพรรณบุรี!J345"")"),15)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IFERROR(__xludf.DUMMYFUNCTION("IMPORTRANGE(""https://docs.google.com/spreadsheets/d/1SX6NBoVAgQJ6U1MVXOaj8PK2l7WJ3RER9xtqwdhxkhw/edit?usp=sharing"",""สุพรรณบุรี!I346"")"),30)</f>
        <v>30</v>
      </c>
      <c r="J451" s="188">
        <f ca="1">IFERROR(__xludf.DUMMYFUNCTION("IMPORTRANGE(""https://docs.google.com/spreadsheets/d/1SX6NBoVAgQJ6U1MVXOaj8PK2l7WJ3RER9xtqwdhxkhw/edit?usp=sharing"",""สุพรรณบุรี!J346"")"),30)</f>
        <v>30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IFERROR(__xludf.DUMMYFUNCTION("IMPORTRANGE(""https://docs.google.com/spreadsheets/d/1SX6NBoVAgQJ6U1MVXOaj8PK2l7WJ3RER9xtqwdhxkhw/edit?usp=sharing"",""สุพรรณบุรี!I347"")"),0)</f>
        <v>0</v>
      </c>
      <c r="J452" s="188">
        <f ca="1">IFERROR(__xludf.DUMMYFUNCTION("IMPORTRANGE(""https://docs.google.com/spreadsheets/d/1SX6NBoVAgQJ6U1MVXOaj8PK2l7WJ3RER9xtqwdhxkhw/edit?usp=sharing"",""สุพรรณบุรี!J347"")"),0)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IFERROR(__xludf.DUMMYFUNCTION("IMPORTRANGE(""https://docs.google.com/spreadsheets/d/1SX6NBoVAgQJ6U1MVXOaj8PK2l7WJ3RER9xtqwdhxkhw/edit?usp=sharing"",""สุพรรณบุรี!J348"")"),0)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IFERROR(__xludf.DUMMYFUNCTION("IMPORTRANGE(""https://docs.google.com/spreadsheets/d/1SX6NBoVAgQJ6U1MVXOaj8PK2l7WJ3RER9xtqwdhxkhw/edit?usp=sharing"",""สุพรรณบุรี!J349"")"),0)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IFERROR(__xludf.DUMMYFUNCTION("IMPORTRANGE(""https://docs.google.com/spreadsheets/d/1SX6NBoVAgQJ6U1MVXOaj8PK2l7WJ3RER9xtqwdhxkhw/edit?usp=sharing"",""สุพรรณบุรี!J350"")"),37350)</f>
        <v>37350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IFERROR(__xludf.DUMMYFUNCTION("IMPORTRANGE(""https://docs.google.com/spreadsheets/d/1SX6NBoVAgQJ6U1MVXOaj8PK2l7WJ3RER9xtqwdhxkhw/edit?usp=sharing"",""สุพรรณบุรี!L350"")"),443595)</f>
        <v>443595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IFERROR(__xludf.DUMMYFUNCTION("IMPORTRANGE(""https://docs.google.com/spreadsheets/d/1SX6NBoVAgQJ6U1MVXOaj8PK2l7WJ3RER9xtqwdhxkhw/edit?usp=sharing"",""สุพรรณบุรี!M350"")"),191558.729999999)</f>
        <v>191558.72999999899</v>
      </c>
      <c r="O455" s="373">
        <f t="shared" ref="O455:O459" ca="1" si="116">+IF(L455&gt;0,N455*100/L455,0)</f>
        <v>43.183248233185452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IFERROR(__xludf.DUMMYFUNCTION("IMPORTRANGE(""https://docs.google.com/spreadsheets/d/1SX6NBoVAgQJ6U1MVXOaj8PK2l7WJ3RER9xtqwdhxkhw/edit?usp=sharing"",""สุพรรณบุรี!L351"")"),0)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IFERROR(__xludf.DUMMYFUNCTION("IMPORTRANGE(""https://docs.google.com/spreadsheets/d/1SX6NBoVAgQJ6U1MVXOaj8PK2l7WJ3RER9xtqwdhxkhw/edit?usp=sharing"",""สุพรรณบุรี!M351"")"),0)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IFERROR(__xludf.DUMMYFUNCTION("IMPORTRANGE(""https://docs.google.com/spreadsheets/d/1SX6NBoVAgQJ6U1MVXOaj8PK2l7WJ3RER9xtqwdhxkhw/edit?usp=sharing"",""สุพรรณบุรี!L352"")"),443595)</f>
        <v>443595</v>
      </c>
      <c r="M457" s="165"/>
      <c r="N457" s="169">
        <f ca="1">IFERROR(__xludf.DUMMYFUNCTION("IMPORTRANGE(""https://docs.google.com/spreadsheets/d/1SX6NBoVAgQJ6U1MVXOaj8PK2l7WJ3RER9xtqwdhxkhw/edit?usp=sharing"",""สุพรรณบุรี!M352"")"),191558.729999999)</f>
        <v>191558.72999999899</v>
      </c>
      <c r="O457" s="169">
        <f t="shared" ca="1" si="116"/>
        <v>43.183248233185452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IFERROR(__xludf.DUMMYFUNCTION("IMPORTRANGE(""https://docs.google.com/spreadsheets/d/1SX6NBoVAgQJ6U1MVXOaj8PK2l7WJ3RER9xtqwdhxkhw/edit?usp=sharing"",""สุพรรณบุรี!L353"")"),0)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IFERROR(__xludf.DUMMYFUNCTION("IMPORTRANGE(""https://docs.google.com/spreadsheets/d/1SX6NBoVAgQJ6U1MVXOaj8PK2l7WJ3RER9xtqwdhxkhw/edit?usp=sharing"",""สุพรรณบุรี!M353"")"),0)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IFERROR(__xludf.DUMMYFUNCTION("IMPORTRANGE(""https://docs.google.com/spreadsheets/d/1SX6NBoVAgQJ6U1MVXOaj8PK2l7WJ3RER9xtqwdhxkhw/edit?usp=sharing"",""สุพรรณบุรี!L354"")"),443595)</f>
        <v>443595</v>
      </c>
      <c r="M459" s="169"/>
      <c r="N459" s="169">
        <f ca="1">IFERROR(__xludf.DUMMYFUNCTION("IMPORTRANGE(""https://docs.google.com/spreadsheets/d/1SX6NBoVAgQJ6U1MVXOaj8PK2l7WJ3RER9xtqwdhxkhw/edit?usp=sharing"",""สุพรรณบุรี!M354"")"),191558.729999999)</f>
        <v>191558.72999999899</v>
      </c>
      <c r="O459" s="169">
        <f t="shared" ca="1" si="116"/>
        <v>43.183248233185452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IFERROR(__xludf.DUMMYFUNCTION("IMPORTRANGE(""https://docs.google.com/spreadsheets/d/1SX6NBoVAgQJ6U1MVXOaj8PK2l7WJ3RER9xtqwdhxkhw/edit?usp=sharing"",""สุพรรณบุรี!M355"")"),0)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IFERROR(__xludf.DUMMYFUNCTION("IMPORTRANGE(""https://docs.google.com/spreadsheets/d/1SX6NBoVAgQJ6U1MVXOaj8PK2l7WJ3RER9xtqwdhxkhw/edit?usp=sharing"",""สุพรรณบุรี!M356"")"),0)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IFERROR(__xludf.DUMMYFUNCTION("IMPORTRANGE(""https://docs.google.com/spreadsheets/d/1SX6NBoVAgQJ6U1MVXOaj8PK2l7WJ3RER9xtqwdhxkhw/edit?usp=sharing"",""สุพรรณบุรี!M357"")"),94838.73)</f>
        <v>94838.73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IFERROR(__xludf.DUMMYFUNCTION("IMPORTRANGE(""https://docs.google.com/spreadsheets/d/1SX6NBoVAgQJ6U1MVXOaj8PK2l7WJ3RER9xtqwdhxkhw/edit?usp=sharing"",""สุพรรณบุรี!M358"")"),96720)</f>
        <v>96720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IFERROR(__xludf.DUMMYFUNCTION("IMPORTRANGE(""https://docs.google.com/spreadsheets/d/1SX6NBoVAgQJ6U1MVXOaj8PK2l7WJ3RER9xtqwdhxkhw/edit?usp=sharing"",""สุพรรณบุรี!I359"")"),37350)</f>
        <v>37350</v>
      </c>
      <c r="J464" s="268">
        <f ca="1">IFERROR(__xludf.DUMMYFUNCTION("IMPORTRANGE(""https://docs.google.com/spreadsheets/d/1SX6NBoVAgQJ6U1MVXOaj8PK2l7WJ3RER9xtqwdhxkhw/edit?usp=sharing"",""สุพรรณบุรี!J359"")"),37350)</f>
        <v>37350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2">
        <f t="shared" ca="1" si="117"/>
        <v>99.998929049531455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IFERROR(__xludf.DUMMYFUNCTION("IMPORTRANGE(""https://docs.google.com/spreadsheets/d/1SX6NBoVAgQJ6U1MVXOaj8PK2l7WJ3RER9xtqwdhxkhw/edit?usp=sharing"",""สุพรรณบุรี!J361"")"),5113)</f>
        <v>5113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IFERROR(__xludf.DUMMYFUNCTION("IMPORTRANGE(""https://docs.google.com/spreadsheets/d/1SX6NBoVAgQJ6U1MVXOaj8PK2l7WJ3RER9xtqwdhxkhw/edit?usp=sharing"",""สุพรรณบุรี!I362"")"),0)</f>
        <v>0</v>
      </c>
      <c r="J467" s="189">
        <f ca="1">IFERROR(__xludf.DUMMYFUNCTION("IMPORTRANGE(""https://docs.google.com/spreadsheets/d/1SX6NBoVAgQJ6U1MVXOaj8PK2l7WJ3RER9xtqwdhxkhw/edit?usp=sharing"",""สุพรรณบุรี!J362"")"),31100)</f>
        <v>31100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IFERROR(__xludf.DUMMYFUNCTION("IMPORTRANGE(""https://docs.google.com/spreadsheets/d/1SX6NBoVAgQJ6U1MVXOaj8PK2l7WJ3RER9xtqwdhxkhw/edit?usp=sharing"",""สุพรรณบุรี!I363"")"),0)</f>
        <v>0</v>
      </c>
      <c r="J468" s="189">
        <f ca="1">IFERROR(__xludf.DUMMYFUNCTION("IMPORTRANGE(""https://docs.google.com/spreadsheets/d/1SX6NBoVAgQJ6U1MVXOaj8PK2l7WJ3RER9xtqwdhxkhw/edit?usp=sharing"",""สุพรรณบุรี!J363"")"),4367)</f>
        <v>4367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IFERROR(__xludf.DUMMYFUNCTION("IMPORTRANGE(""https://docs.google.com/spreadsheets/d/1SX6NBoVAgQJ6U1MVXOaj8PK2l7WJ3RER9xtqwdhxkhw/edit?usp=sharing"",""สุพรรณบุรี!I364"")"),0)</f>
        <v>0</v>
      </c>
      <c r="J469" s="189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IFERROR(__xludf.DUMMYFUNCTION("IMPORTRANGE(""https://docs.google.com/spreadsheets/d/1SX6NBoVAgQJ6U1MVXOaj8PK2l7WJ3RER9xtqwdhxkhw/edit?usp=sharing"",""สุพรรณบุรี!I365"")"),0)</f>
        <v>0</v>
      </c>
      <c r="J470" s="189">
        <f ca="1">IFERROR(__xludf.DUMMYFUNCTION("IMPORTRANGE(""https://docs.google.com/spreadsheets/d/1SX6NBoVAgQJ6U1MVXOaj8PK2l7WJ3RER9xtqwdhxkhw/edit?usp=sharing"",""สุพรรณบุรี!J365"")"),699)</f>
        <v>699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IFERROR(__xludf.DUMMYFUNCTION("IMPORTRANGE(""https://docs.google.com/spreadsheets/d/1SX6NBoVAgQJ6U1MVXOaj8PK2l7WJ3RER9xtqwdhxkhw/edit?usp=sharing"",""สุพรรณบุรี!I366"")"),0)</f>
        <v>0</v>
      </c>
      <c r="J471" s="189">
        <f ca="1">IFERROR(__xludf.DUMMYFUNCTION("IMPORTRANGE(""https://docs.google.com/spreadsheets/d/1SX6NBoVAgQJ6U1MVXOaj8PK2l7WJ3RER9xtqwdhxkhw/edit?usp=sharing"",""สุพรรณบุรี!J366"")"),342.5)</f>
        <v>342.5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IFERROR(__xludf.DUMMYFUNCTION("IMPORTRANGE(""https://docs.google.com/spreadsheets/d/1SX6NBoVAgQJ6U1MVXOaj8PK2l7WJ3RER9xtqwdhxkhw/edit?usp=sharing"",""สุพรรณบุรี!I367"")"),0)</f>
        <v>0</v>
      </c>
      <c r="J472" s="189">
        <f ca="1">IFERROR(__xludf.DUMMYFUNCTION("IMPORTRANGE(""https://docs.google.com/spreadsheets/d/1SX6NBoVAgQJ6U1MVXOaj8PK2l7WJ3RER9xtqwdhxkhw/edit?usp=sharing"",""สุพรรณบุรี!J367"")"),47)</f>
        <v>47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IFERROR(__xludf.DUMMYFUNCTION("IMPORTRANGE(""https://docs.google.com/spreadsheets/d/1SX6NBoVAgQJ6U1MVXOaj8PK2l7WJ3RER9xtqwdhxkhw/edit?usp=sharing"",""สุพรรณบุรี!J368"")"),37350)</f>
        <v>37350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IFERROR(__xludf.DUMMYFUNCTION("IMPORTRANGE(""https://docs.google.com/spreadsheets/d/1SX6NBoVAgQJ6U1MVXOaj8PK2l7WJ3RER9xtqwdhxkhw/edit?usp=sharing"",""สุพรรณบุรี!J369"")"),5113)</f>
        <v>5113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IFERROR(__xludf.DUMMYFUNCTION("IMPORTRANGE(""https://docs.google.com/spreadsheets/d/1SX6NBoVAgQJ6U1MVXOaj8PK2l7WJ3RER9xtqwdhxkhw/edit?usp=sharing"",""สุพรรณบุรี!I370"")"),0)</f>
        <v>0</v>
      </c>
      <c r="J475" s="189">
        <f ca="1">IFERROR(__xludf.DUMMYFUNCTION("IMPORTRANGE(""https://docs.google.com/spreadsheets/d/1SX6NBoVAgQJ6U1MVXOaj8PK2l7WJ3RER9xtqwdhxkhw/edit?usp=sharing"",""สุพรรณบุรี!J370"")"),32792)</f>
        <v>32792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IFERROR(__xludf.DUMMYFUNCTION("IMPORTRANGE(""https://docs.google.com/spreadsheets/d/1SX6NBoVAgQJ6U1MVXOaj8PK2l7WJ3RER9xtqwdhxkhw/edit?usp=sharing"",""สุพรรณบุรี!I371"")"),0)</f>
        <v>0</v>
      </c>
      <c r="J476" s="189">
        <f ca="1">IFERROR(__xludf.DUMMYFUNCTION("IMPORTRANGE(""https://docs.google.com/spreadsheets/d/1SX6NBoVAgQJ6U1MVXOaj8PK2l7WJ3RER9xtqwdhxkhw/edit?usp=sharing"",""สุพรรณบุรี!J371"")"),4547)</f>
        <v>4547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IFERROR(__xludf.DUMMYFUNCTION("IMPORTRANGE(""https://docs.google.com/spreadsheets/d/1SX6NBoVAgQJ6U1MVXOaj8PK2l7WJ3RER9xtqwdhxkhw/edit?usp=sharing"",""สุพรรณบุรี!I372"")"),0)</f>
        <v>0</v>
      </c>
      <c r="J477" s="189">
        <f ca="1">IFERROR(__xludf.DUMMYFUNCTION("IMPORTRANGE(""https://docs.google.com/spreadsheets/d/1SX6NBoVAgQJ6U1MVXOaj8PK2l7WJ3RER9xtqwdhxkhw/edit?usp=sharing"",""สุพรรณบุรี!J372"")"),4097)</f>
        <v>4097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IFERROR(__xludf.DUMMYFUNCTION("IMPORTRANGE(""https://docs.google.com/spreadsheets/d/1SX6NBoVAgQJ6U1MVXOaj8PK2l7WJ3RER9xtqwdhxkhw/edit?usp=sharing"",""สุพรรณบุรี!I373"")"),0)</f>
        <v>0</v>
      </c>
      <c r="J478" s="189">
        <f ca="1">IFERROR(__xludf.DUMMYFUNCTION("IMPORTRANGE(""https://docs.google.com/spreadsheets/d/1SX6NBoVAgQJ6U1MVXOaj8PK2l7WJ3RER9xtqwdhxkhw/edit?usp=sharing"",""สุพรรณบุรี!J373"")"),489)</f>
        <v>489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IFERROR(__xludf.DUMMYFUNCTION("IMPORTRANGE(""https://docs.google.com/spreadsheets/d/1SX6NBoVAgQJ6U1MVXOaj8PK2l7WJ3RER9xtqwdhxkhw/edit?usp=sharing"",""สุพรรณบุรี!I374"")"),0)</f>
        <v>0</v>
      </c>
      <c r="J479" s="189">
        <f ca="1">IFERROR(__xludf.DUMMYFUNCTION("IMPORTRANGE(""https://docs.google.com/spreadsheets/d/1SX6NBoVAgQJ6U1MVXOaj8PK2l7WJ3RER9xtqwdhxkhw/edit?usp=sharing"",""สุพรรณบุรี!J374"")"),461)</f>
        <v>461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IFERROR(__xludf.DUMMYFUNCTION("IMPORTRANGE(""https://docs.google.com/spreadsheets/d/1SX6NBoVAgQJ6U1MVXOaj8PK2l7WJ3RER9xtqwdhxkhw/edit?usp=sharing"",""สุพรรณบุรี!I375"")"),0)</f>
        <v>0</v>
      </c>
      <c r="J480" s="189">
        <f ca="1">IFERROR(__xludf.DUMMYFUNCTION("IMPORTRANGE(""https://docs.google.com/spreadsheets/d/1SX6NBoVAgQJ6U1MVXOaj8PK2l7WJ3RER9xtqwdhxkhw/edit?usp=sharing"",""สุพรรณบุรี!J375"")"),77)</f>
        <v>77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IFERROR(__xludf.DUMMYFUNCTION("IMPORTRANGE(""https://docs.google.com/spreadsheets/d/1SX6NBoVAgQJ6U1MVXOaj8PK2l7WJ3RER9xtqwdhxkhw/edit?usp=sharing"",""สุพรรณบุรี!J376"")"),37350)</f>
        <v>37350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IFERROR(__xludf.DUMMYFUNCTION("IMPORTRANGE(""https://docs.google.com/spreadsheets/d/1SX6NBoVAgQJ6U1MVXOaj8PK2l7WJ3RER9xtqwdhxkhw/edit?usp=sharing"",""สุพรรณบุรี!J377"")"),5113)</f>
        <v>5113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IFERROR(__xludf.DUMMYFUNCTION("IMPORTRANGE(""https://docs.google.com/spreadsheets/d/1SX6NBoVAgQJ6U1MVXOaj8PK2l7WJ3RER9xtqwdhxkhw/edit?usp=sharing"",""สุพรรณบุรี!I378"")"),0)</f>
        <v>0</v>
      </c>
      <c r="J483" s="189">
        <f ca="1">IFERROR(__xludf.DUMMYFUNCTION("IMPORTRANGE(""https://docs.google.com/spreadsheets/d/1SX6NBoVAgQJ6U1MVXOaj8PK2l7WJ3RER9xtqwdhxkhw/edit?usp=sharing"",""สุพรรณบุรี!J378"")"),32792)</f>
        <v>32792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IFERROR(__xludf.DUMMYFUNCTION("IMPORTRANGE(""https://docs.google.com/spreadsheets/d/1SX6NBoVAgQJ6U1MVXOaj8PK2l7WJ3RER9xtqwdhxkhw/edit?usp=sharing"",""สุพรรณบุรี!I379"")"),0)</f>
        <v>0</v>
      </c>
      <c r="J484" s="189">
        <f ca="1">IFERROR(__xludf.DUMMYFUNCTION("IMPORTRANGE(""https://docs.google.com/spreadsheets/d/1SX6NBoVAgQJ6U1MVXOaj8PK2l7WJ3RER9xtqwdhxkhw/edit?usp=sharing"",""สุพรรณบุรี!J379"")"),4547)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IFERROR(__xludf.DUMMYFUNCTION("IMPORTRANGE(""https://docs.google.com/spreadsheets/d/1SX6NBoVAgQJ6U1MVXOaj8PK2l7WJ3RER9xtqwdhxkhw/edit?usp=sharing"",""สุพรรณบุรี!I380"")"),0)</f>
        <v>0</v>
      </c>
      <c r="J485" s="189">
        <f ca="1">IFERROR(__xludf.DUMMYFUNCTION("IMPORTRANGE(""https://docs.google.com/spreadsheets/d/1SX6NBoVAgQJ6U1MVXOaj8PK2l7WJ3RER9xtqwdhxkhw/edit?usp=sharing"",""สุพรรณบุรี!J380"")"),4097)</f>
        <v>4097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IFERROR(__xludf.DUMMYFUNCTION("IMPORTRANGE(""https://docs.google.com/spreadsheets/d/1SX6NBoVAgQJ6U1MVXOaj8PK2l7WJ3RER9xtqwdhxkhw/edit?usp=sharing"",""สุพรรณบุรี!I381"")"),0)</f>
        <v>0</v>
      </c>
      <c r="J486" s="189">
        <f ca="1">IFERROR(__xludf.DUMMYFUNCTION("IMPORTRANGE(""https://docs.google.com/spreadsheets/d/1SX6NBoVAgQJ6U1MVXOaj8PK2l7WJ3RER9xtqwdhxkhw/edit?usp=sharing"",""สุพรรณบุรี!J381"")"),489)</f>
        <v>489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IFERROR(__xludf.DUMMYFUNCTION("IMPORTRANGE(""https://docs.google.com/spreadsheets/d/1SX6NBoVAgQJ6U1MVXOaj8PK2l7WJ3RER9xtqwdhxkhw/edit?usp=sharing"",""สุพรรณบุรี!J382"")"),461)</f>
        <v>461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IFERROR(__xludf.DUMMYFUNCTION("IMPORTRANGE(""https://docs.google.com/spreadsheets/d/1SX6NBoVAgQJ6U1MVXOaj8PK2l7WJ3RER9xtqwdhxkhw/edit?usp=sharing"",""สุพรรณบุรี!J383"")"),77)</f>
        <v>77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IFERROR(__xludf.DUMMYFUNCTION("IMPORTRANGE(""https://docs.google.com/spreadsheets/d/1SX6NBoVAgQJ6U1MVXOaj8PK2l7WJ3RER9xtqwdhxkhw/edit?usp=sharing"",""สุพรรณบุรี!I384"")"),0)</f>
        <v>0</v>
      </c>
      <c r="J489" s="189">
        <f ca="1">IFERROR(__xludf.DUMMYFUNCTION("IMPORTRANGE(""https://docs.google.com/spreadsheets/d/1SX6NBoVAgQJ6U1MVXOaj8PK2l7WJ3RER9xtqwdhxkhw/edit?usp=sharing"",""สุพรรณบุรี!J384"")"),461)</f>
        <v>461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IFERROR(__xludf.DUMMYFUNCTION("IMPORTRANGE(""https://docs.google.com/spreadsheets/d/1SX6NBoVAgQJ6U1MVXOaj8PK2l7WJ3RER9xtqwdhxkhw/edit?usp=sharing"",""สุพรรณบุรี!I385"")"),0)</f>
        <v>0</v>
      </c>
      <c r="J490" s="189">
        <f ca="1">IFERROR(__xludf.DUMMYFUNCTION("IMPORTRANGE(""https://docs.google.com/spreadsheets/d/1SX6NBoVAgQJ6U1MVXOaj8PK2l7WJ3RER9xtqwdhxkhw/edit?usp=sharing"",""สุพรรณบุรี!J385"")"),77)</f>
        <v>77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IFERROR(__xludf.DUMMYFUNCTION("IMPORTRANGE(""https://docs.google.com/spreadsheets/d/1SX6NBoVAgQJ6U1MVXOaj8PK2l7WJ3RER9xtqwdhxkhw/edit?usp=sharing"",""สุพรรณบุรี!I386"")"),0)</f>
        <v>0</v>
      </c>
      <c r="J491" s="189">
        <f ca="1">IFERROR(__xludf.DUMMYFUNCTION("IMPORTRANGE(""https://docs.google.com/spreadsheets/d/1SX6NBoVAgQJ6U1MVXOaj8PK2l7WJ3RER9xtqwdhxkhw/edit?usp=sharing"",""สุพรรณบุรี!J386"")"),0)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IFERROR(__xludf.DUMMYFUNCTION("IMPORTRANGE(""https://docs.google.com/spreadsheets/d/1SX6NBoVAgQJ6U1MVXOaj8PK2l7WJ3RER9xtqwdhxkhw/edit?usp=sharing"",""สุพรรณบุรี!I387"")"),0)</f>
        <v>0</v>
      </c>
      <c r="J492" s="189">
        <f ca="1">IFERROR(__xludf.DUMMYFUNCTION("IMPORTRANGE(""https://docs.google.com/spreadsheets/d/1SX6NBoVAgQJ6U1MVXOaj8PK2l7WJ3RER9xtqwdhxkhw/edit?usp=sharing"",""สุพรรณบุรี!J387"")"),0)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IFERROR(__xludf.DUMMYFUNCTION("IMPORTRANGE(""https://docs.google.com/spreadsheets/d/1SX6NBoVAgQJ6U1MVXOaj8PK2l7WJ3RER9xtqwdhxkhw/edit?usp=sharing"",""สุพรรณบุรี!I388"")"),0)</f>
        <v>0</v>
      </c>
      <c r="J493" s="189">
        <f ca="1">IFERROR(__xludf.DUMMYFUNCTION("IMPORTRANGE(""https://docs.google.com/spreadsheets/d/1SX6NBoVAgQJ6U1MVXOaj8PK2l7WJ3RER9xtqwdhxkhw/edit?usp=sharing"",""สุพรรณบุรี!J388"")"),0)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IFERROR(__xludf.DUMMYFUNCTION("IMPORTRANGE(""https://docs.google.com/spreadsheets/d/1SX6NBoVAgQJ6U1MVXOaj8PK2l7WJ3RER9xtqwdhxkhw/edit?usp=sharing"",""สุพรรณบุรี!I395"")"),0)</f>
        <v>0</v>
      </c>
      <c r="J500" s="162">
        <f ca="1">IFERROR(__xludf.DUMMYFUNCTION("IMPORTRANGE(""https://docs.google.com/spreadsheets/d/1SX6NBoVAgQJ6U1MVXOaj8PK2l7WJ3RER9xtqwdhxkhw/edit?usp=sharing"",""สุพรรณบุรี!J395"")"),0)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IFERROR(__xludf.DUMMYFUNCTION("IMPORTRANGE(""https://docs.google.com/spreadsheets/d/1SX6NBoVAgQJ6U1MVXOaj8PK2l7WJ3RER9xtqwdhxkhw/edit?usp=sharing"",""สุพรรณบุรี!I396"")"),0)</f>
        <v>0</v>
      </c>
      <c r="J501" s="162">
        <f ca="1">IFERROR(__xludf.DUMMYFUNCTION("IMPORTRANGE(""https://docs.google.com/spreadsheets/d/1SX6NBoVAgQJ6U1MVXOaj8PK2l7WJ3RER9xtqwdhxkhw/edit?usp=sharing"",""สุพรรณบุรี!J396"")"),0)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IFERROR(__xludf.DUMMYFUNCTION("IMPORTRANGE(""https://docs.google.com/spreadsheets/d/1SX6NBoVAgQJ6U1MVXOaj8PK2l7WJ3RER9xtqwdhxkhw/edit?usp=sharing"",""สุพรรณบุรี!I397"")"),0)</f>
        <v>0</v>
      </c>
      <c r="J502" s="189">
        <f ca="1">IFERROR(__xludf.DUMMYFUNCTION("IMPORTRANGE(""https://docs.google.com/spreadsheets/d/1SX6NBoVAgQJ6U1MVXOaj8PK2l7WJ3RER9xtqwdhxkhw/edit?usp=sharing"",""สุพรรณบุรี!J397"")"),0)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IFERROR(__xludf.DUMMYFUNCTION("IMPORTRANGE(""https://docs.google.com/spreadsheets/d/1SX6NBoVAgQJ6U1MVXOaj8PK2l7WJ3RER9xtqwdhxkhw/edit?usp=sharing"",""สุพรรณบุรี!I398"")"),0)</f>
        <v>0</v>
      </c>
      <c r="J503" s="198">
        <f ca="1">IFERROR(__xludf.DUMMYFUNCTION("IMPORTRANGE(""https://docs.google.com/spreadsheets/d/1SX6NBoVAgQJ6U1MVXOaj8PK2l7WJ3RER9xtqwdhxkhw/edit?usp=sharing"",""สุพรรณบุรี!J398"")"),0)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IFERROR(__xludf.DUMMYFUNCTION("IMPORTRANGE(""https://docs.google.com/spreadsheets/d/1SX6NBoVAgQJ6U1MVXOaj8PK2l7WJ3RER9xtqwdhxkhw/edit?usp=sharing"",""สุพรรณบุรี!I399"")"),0)</f>
        <v>0</v>
      </c>
      <c r="J504" s="189">
        <f ca="1">IFERROR(__xludf.DUMMYFUNCTION("IMPORTRANGE(""https://docs.google.com/spreadsheets/d/1SX6NBoVAgQJ6U1MVXOaj8PK2l7WJ3RER9xtqwdhxkhw/edit?usp=sharing"",""สุพรรณบุรี!J399"")"),0)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IFERROR(__xludf.DUMMYFUNCTION("IMPORTRANGE(""https://docs.google.com/spreadsheets/d/1SX6NBoVAgQJ6U1MVXOaj8PK2l7WJ3RER9xtqwdhxkhw/edit?usp=sharing"",""สุพรรณบุรี!I400"")"),0)</f>
        <v>0</v>
      </c>
      <c r="J505" s="198">
        <f ca="1">IFERROR(__xludf.DUMMYFUNCTION("IMPORTRANGE(""https://docs.google.com/spreadsheets/d/1SX6NBoVAgQJ6U1MVXOaj8PK2l7WJ3RER9xtqwdhxkhw/edit?usp=sharing"",""สุพรรณบุรี!J400"")"),0)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IFERROR(__xludf.DUMMYFUNCTION("IMPORTRANGE(""https://docs.google.com/spreadsheets/d/1SX6NBoVAgQJ6U1MVXOaj8PK2l7WJ3RER9xtqwdhxkhw/edit?usp=sharing"",""สุพรรณบุรี!I401"")"),0)</f>
        <v>0</v>
      </c>
      <c r="J506" s="189">
        <f ca="1">IFERROR(__xludf.DUMMYFUNCTION("IMPORTRANGE(""https://docs.google.com/spreadsheets/d/1SX6NBoVAgQJ6U1MVXOaj8PK2l7WJ3RER9xtqwdhxkhw/edit?usp=sharing"",""สุพรรณบุรี!J401"")"),0)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IFERROR(__xludf.DUMMYFUNCTION("IMPORTRANGE(""https://docs.google.com/spreadsheets/d/1SX6NBoVAgQJ6U1MVXOaj8PK2l7WJ3RER9xtqwdhxkhw/edit?usp=sharing"",""สุพรรณบุรี!I402"")"),0)</f>
        <v>0</v>
      </c>
      <c r="J507" s="198">
        <f ca="1">IFERROR(__xludf.DUMMYFUNCTION("IMPORTRANGE(""https://docs.google.com/spreadsheets/d/1SX6NBoVAgQJ6U1MVXOaj8PK2l7WJ3RER9xtqwdhxkhw/edit?usp=sharing"",""สุพรรณบุรี!J402"")"),0)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IFERROR(__xludf.DUMMYFUNCTION("IMPORTRANGE(""https://docs.google.com/spreadsheets/d/1SX6NBoVAgQJ6U1MVXOaj8PK2l7WJ3RER9xtqwdhxkhw/edit?usp=sharing"",""สุพรรณบุรี!I403"")"),0)</f>
        <v>0</v>
      </c>
      <c r="J508" s="162">
        <f ca="1">IFERROR(__xludf.DUMMYFUNCTION("IMPORTRANGE(""https://docs.google.com/spreadsheets/d/1SX6NBoVAgQJ6U1MVXOaj8PK2l7WJ3RER9xtqwdhxkhw/edit?usp=sharing"",""สุพรรณบุรี!J403"")"),0)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IFERROR(__xludf.DUMMYFUNCTION("IMPORTRANGE(""https://docs.google.com/spreadsheets/d/1SX6NBoVAgQJ6U1MVXOaj8PK2l7WJ3RER9xtqwdhxkhw/edit?usp=sharing"",""สุพรรณบุรี!I404"")"),0)</f>
        <v>0</v>
      </c>
      <c r="J509" s="162">
        <f ca="1">IFERROR(__xludf.DUMMYFUNCTION("IMPORTRANGE(""https://docs.google.com/spreadsheets/d/1SX6NBoVAgQJ6U1MVXOaj8PK2l7WJ3RER9xtqwdhxkhw/edit?usp=sharing"",""สุพรรณบุรี!J404"")"),0)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IFERROR(__xludf.DUMMYFUNCTION("IMPORTRANGE(""https://docs.google.com/spreadsheets/d/1SX6NBoVAgQJ6U1MVXOaj8PK2l7WJ3RER9xtqwdhxkhw/edit?usp=sharing"",""สุพรรณบุรี!I405"")"),0)</f>
        <v>0</v>
      </c>
      <c r="J510" s="198">
        <f ca="1">IFERROR(__xludf.DUMMYFUNCTION("IMPORTRANGE(""https://docs.google.com/spreadsheets/d/1SX6NBoVAgQJ6U1MVXOaj8PK2l7WJ3RER9xtqwdhxkhw/edit?usp=sharing"",""สุพรรณบุรี!J405"")"),0)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IFERROR(__xludf.DUMMYFUNCTION("IMPORTRANGE(""https://docs.google.com/spreadsheets/d/1SX6NBoVAgQJ6U1MVXOaj8PK2l7WJ3RER9xtqwdhxkhw/edit?usp=sharing"",""สุพรรณบุรี!I406"")"),0)</f>
        <v>0</v>
      </c>
      <c r="J511" s="198">
        <f ca="1">IFERROR(__xludf.DUMMYFUNCTION("IMPORTRANGE(""https://docs.google.com/spreadsheets/d/1SX6NBoVAgQJ6U1MVXOaj8PK2l7WJ3RER9xtqwdhxkhw/edit?usp=sharing"",""สุพรรณบุรี!J406"")"),0)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IFERROR(__xludf.DUMMYFUNCTION("IMPORTRANGE(""https://docs.google.com/spreadsheets/d/1SX6NBoVAgQJ6U1MVXOaj8PK2l7WJ3RER9xtqwdhxkhw/edit?usp=sharing"",""สุพรรณบุรี!I407"")"),0)</f>
        <v>0</v>
      </c>
      <c r="J512" s="198">
        <f ca="1">IFERROR(__xludf.DUMMYFUNCTION("IMPORTRANGE(""https://docs.google.com/spreadsheets/d/1SX6NBoVAgQJ6U1MVXOaj8PK2l7WJ3RER9xtqwdhxkhw/edit?usp=sharing"",""สุพรรณบุรี!J407"")"),0)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IFERROR(__xludf.DUMMYFUNCTION("IMPORTRANGE(""https://docs.google.com/spreadsheets/d/1SX6NBoVAgQJ6U1MVXOaj8PK2l7WJ3RER9xtqwdhxkhw/edit?usp=sharing"",""สุพรรณบุรี!I408"")"),0)</f>
        <v>0</v>
      </c>
      <c r="J513" s="198">
        <f ca="1">IFERROR(__xludf.DUMMYFUNCTION("IMPORTRANGE(""https://docs.google.com/spreadsheets/d/1SX6NBoVAgQJ6U1MVXOaj8PK2l7WJ3RER9xtqwdhxkhw/edit?usp=sharing"",""สุพรรณบุรี!J408"")"),0)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IFERROR(__xludf.DUMMYFUNCTION("IMPORTRANGE(""https://docs.google.com/spreadsheets/d/1SX6NBoVAgQJ6U1MVXOaj8PK2l7WJ3RER9xtqwdhxkhw/edit?usp=sharing"",""สุพรรณบุรี!I409"")"),0)</f>
        <v>0</v>
      </c>
      <c r="J514" s="198">
        <f ca="1">IFERROR(__xludf.DUMMYFUNCTION("IMPORTRANGE(""https://docs.google.com/spreadsheets/d/1SX6NBoVAgQJ6U1MVXOaj8PK2l7WJ3RER9xtqwdhxkhw/edit?usp=sharing"",""สุพรรณบุรี!J409"")"),0)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IFERROR(__xludf.DUMMYFUNCTION("IMPORTRANGE(""https://docs.google.com/spreadsheets/d/1SX6NBoVAgQJ6U1MVXOaj8PK2l7WJ3RER9xtqwdhxkhw/edit?usp=sharing"",""สุพรรณบุรี!I410"")"),0)</f>
        <v>0</v>
      </c>
      <c r="J515" s="198">
        <f ca="1">IFERROR(__xludf.DUMMYFUNCTION("IMPORTRANGE(""https://docs.google.com/spreadsheets/d/1SX6NBoVAgQJ6U1MVXOaj8PK2l7WJ3RER9xtqwdhxkhw/edit?usp=sharing"",""สุพรรณบุรี!J410"")"),0)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IFERROR(__xludf.DUMMYFUNCTION("IMPORTRANGE(""https://docs.google.com/spreadsheets/d/1SX6NBoVAgQJ6U1MVXOaj8PK2l7WJ3RER9xtqwdhxkhw/edit?usp=sharing"",""สุพรรณบุรี!I411"")"),0)</f>
        <v>0</v>
      </c>
      <c r="J516" s="268">
        <f ca="1">IFERROR(__xludf.DUMMYFUNCTION("IMPORTRANGE(""https://docs.google.com/spreadsheets/d/1SX6NBoVAgQJ6U1MVXOaj8PK2l7WJ3RER9xtqwdhxkhw/edit?usp=sharing"",""สุพรรณบุรี!J411"")"),0)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IFERROR(__xludf.DUMMYFUNCTION("IMPORTRANGE(""https://docs.google.com/spreadsheets/d/1SX6NBoVAgQJ6U1MVXOaj8PK2l7WJ3RER9xtqwdhxkhw/edit?usp=sharing"",""สุพรรณบุรี!I412"")"),0)</f>
        <v>0</v>
      </c>
      <c r="J517" s="285">
        <f ca="1">IFERROR(__xludf.DUMMYFUNCTION("IMPORTRANGE(""https://docs.google.com/spreadsheets/d/1SX6NBoVAgQJ6U1MVXOaj8PK2l7WJ3RER9xtqwdhxkhw/edit?usp=sharing"",""สุพรรณบุรี!J412"")"),0)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IFERROR(__xludf.DUMMYFUNCTION("IMPORTRANGE(""https://docs.google.com/spreadsheets/d/1SX6NBoVAgQJ6U1MVXOaj8PK2l7WJ3RER9xtqwdhxkhw/edit?usp=sharing"",""สุพรรณบุรี!I413"")"),0)</f>
        <v>0</v>
      </c>
      <c r="J518" s="285">
        <f ca="1">IFERROR(__xludf.DUMMYFUNCTION("IMPORTRANGE(""https://docs.google.com/spreadsheets/d/1SX6NBoVAgQJ6U1MVXOaj8PK2l7WJ3RER9xtqwdhxkhw/edit?usp=sharing"",""สุพรรณบุรี!J413"")"),0)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IFERROR(__xludf.DUMMYFUNCTION("IMPORTRANGE(""https://docs.google.com/spreadsheets/d/1SX6NBoVAgQJ6U1MVXOaj8PK2l7WJ3RER9xtqwdhxkhw/edit?usp=sharing"",""สุพรรณบุรี!I414"")"),0)</f>
        <v>0</v>
      </c>
      <c r="J519" s="188">
        <f ca="1">IFERROR(__xludf.DUMMYFUNCTION("IMPORTRANGE(""https://docs.google.com/spreadsheets/d/1SX6NBoVAgQJ6U1MVXOaj8PK2l7WJ3RER9xtqwdhxkhw/edit?usp=sharing"",""สุพรรณบุรี!J414"")"),0)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IFERROR(__xludf.DUMMYFUNCTION("IMPORTRANGE(""https://docs.google.com/spreadsheets/d/1SX6NBoVAgQJ6U1MVXOaj8PK2l7WJ3RER9xtqwdhxkhw/edit?usp=sharing"",""สุพรรณบุรี!I415"")"),0)</f>
        <v>0</v>
      </c>
      <c r="J520" s="188">
        <f ca="1">IFERROR(__xludf.DUMMYFUNCTION("IMPORTRANGE(""https://docs.google.com/spreadsheets/d/1SX6NBoVAgQJ6U1MVXOaj8PK2l7WJ3RER9xtqwdhxkhw/edit?usp=sharing"",""สุพรรณบุรี!J415"")"),0)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IFERROR(__xludf.DUMMYFUNCTION("IMPORTRANGE(""https://docs.google.com/spreadsheets/d/1SX6NBoVAgQJ6U1MVXOaj8PK2l7WJ3RER9xtqwdhxkhw/edit?usp=sharing"",""สุพรรณบุรี!I416"")"),0)</f>
        <v>0</v>
      </c>
      <c r="J521" s="188">
        <f ca="1">IFERROR(__xludf.DUMMYFUNCTION("IMPORTRANGE(""https://docs.google.com/spreadsheets/d/1SX6NBoVAgQJ6U1MVXOaj8PK2l7WJ3RER9xtqwdhxkhw/edit?usp=sharing"",""สุพรรณบุรี!J416"")"),0)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IFERROR(__xludf.DUMMYFUNCTION("IMPORTRANGE(""https://docs.google.com/spreadsheets/d/1SX6NBoVAgQJ6U1MVXOaj8PK2l7WJ3RER9xtqwdhxkhw/edit?usp=sharing"",""สุพรรณบุรี!I417"")"),0)</f>
        <v>0</v>
      </c>
      <c r="J522" s="188">
        <f ca="1">IFERROR(__xludf.DUMMYFUNCTION("IMPORTRANGE(""https://docs.google.com/spreadsheets/d/1SX6NBoVAgQJ6U1MVXOaj8PK2l7WJ3RER9xtqwdhxkhw/edit?usp=sharing"",""สุพรรณบุรี!J417"")"),0)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IFERROR(__xludf.DUMMYFUNCTION("IMPORTRANGE(""https://docs.google.com/spreadsheets/d/1SX6NBoVAgQJ6U1MVXOaj8PK2l7WJ3RER9xtqwdhxkhw/edit?usp=sharing"",""สุพรรณบุรี!I418"")"),0)</f>
        <v>0</v>
      </c>
      <c r="J523" s="188">
        <f ca="1">IFERROR(__xludf.DUMMYFUNCTION("IMPORTRANGE(""https://docs.google.com/spreadsheets/d/1SX6NBoVAgQJ6U1MVXOaj8PK2l7WJ3RER9xtqwdhxkhw/edit?usp=sharing"",""สุพรรณบุรี!J418"")"),0)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IFERROR(__xludf.DUMMYFUNCTION("IMPORTRANGE(""https://docs.google.com/spreadsheets/d/1SX6NBoVAgQJ6U1MVXOaj8PK2l7WJ3RER9xtqwdhxkhw/edit?usp=sharing"",""สุพรรณบุรี!I419"")"),0)</f>
        <v>0</v>
      </c>
      <c r="J524" s="188">
        <f ca="1">IFERROR(__xludf.DUMMYFUNCTION("IMPORTRANGE(""https://docs.google.com/spreadsheets/d/1SX6NBoVAgQJ6U1MVXOaj8PK2l7WJ3RER9xtqwdhxkhw/edit?usp=sharing"",""สุพรรณบุรี!J419"")"),0)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IFERROR(__xludf.DUMMYFUNCTION("IMPORTRANGE(""https://docs.google.com/spreadsheets/d/1SX6NBoVAgQJ6U1MVXOaj8PK2l7WJ3RER9xtqwdhxkhw/edit?usp=sharing"",""สุพรรณบุรี!I420"")"),0)</f>
        <v>0</v>
      </c>
      <c r="J525" s="285">
        <f ca="1">IFERROR(__xludf.DUMMYFUNCTION("IMPORTRANGE(""https://docs.google.com/spreadsheets/d/1SX6NBoVAgQJ6U1MVXOaj8PK2l7WJ3RER9xtqwdhxkhw/edit?usp=sharing"",""สุพรรณบุรี!J420"")"),0)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IFERROR(__xludf.DUMMYFUNCTION("IMPORTRANGE(""https://docs.google.com/spreadsheets/d/1SX6NBoVAgQJ6U1MVXOaj8PK2l7WJ3RER9xtqwdhxkhw/edit?usp=sharing"",""สุพรรณบุรี!I421"")"),0)</f>
        <v>0</v>
      </c>
      <c r="J526" s="285">
        <f ca="1">IFERROR(__xludf.DUMMYFUNCTION("IMPORTRANGE(""https://docs.google.com/spreadsheets/d/1SX6NBoVAgQJ6U1MVXOaj8PK2l7WJ3RER9xtqwdhxkhw/edit?usp=sharing"",""สุพรรณบุรี!J421"")"),0)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IFERROR(__xludf.DUMMYFUNCTION("IMPORTRANGE(""https://docs.google.com/spreadsheets/d/1SX6NBoVAgQJ6U1MVXOaj8PK2l7WJ3RER9xtqwdhxkhw/edit?usp=sharing"",""สุพรรณบุรี!I422"")"),0)</f>
        <v>0</v>
      </c>
      <c r="J527" s="198">
        <f ca="1">IFERROR(__xludf.DUMMYFUNCTION("IMPORTRANGE(""https://docs.google.com/spreadsheets/d/1SX6NBoVAgQJ6U1MVXOaj8PK2l7WJ3RER9xtqwdhxkhw/edit?usp=sharing"",""สุพรรณบุรี!J422"")"),0)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IFERROR(__xludf.DUMMYFUNCTION("IMPORTRANGE(""https://docs.google.com/spreadsheets/d/1SX6NBoVAgQJ6U1MVXOaj8PK2l7WJ3RER9xtqwdhxkhw/edit?usp=sharing"",""สุพรรณบุรี!I423"")"),0)</f>
        <v>0</v>
      </c>
      <c r="J528" s="198">
        <f ca="1">IFERROR(__xludf.DUMMYFUNCTION("IMPORTRANGE(""https://docs.google.com/spreadsheets/d/1SX6NBoVAgQJ6U1MVXOaj8PK2l7WJ3RER9xtqwdhxkhw/edit?usp=sharing"",""สุพรรณบุรี!J423"")"),0)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IFERROR(__xludf.DUMMYFUNCTION("IMPORTRANGE(""https://docs.google.com/spreadsheets/d/1SX6NBoVAgQJ6U1MVXOaj8PK2l7WJ3RER9xtqwdhxkhw/edit?usp=sharing"",""สุพรรณบุรี!I424"")"),0)</f>
        <v>0</v>
      </c>
      <c r="J529" s="198">
        <f ca="1">IFERROR(__xludf.DUMMYFUNCTION("IMPORTRANGE(""https://docs.google.com/spreadsheets/d/1SX6NBoVAgQJ6U1MVXOaj8PK2l7WJ3RER9xtqwdhxkhw/edit?usp=sharing"",""สุพรรณบุรี!J424"")"),0)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IFERROR(__xludf.DUMMYFUNCTION("IMPORTRANGE(""https://docs.google.com/spreadsheets/d/1SX6NBoVAgQJ6U1MVXOaj8PK2l7WJ3RER9xtqwdhxkhw/edit?usp=sharing"",""สุพรรณบุรี!I425"")"),0)</f>
        <v>0</v>
      </c>
      <c r="J530" s="198">
        <f ca="1">IFERROR(__xludf.DUMMYFUNCTION("IMPORTRANGE(""https://docs.google.com/spreadsheets/d/1SX6NBoVAgQJ6U1MVXOaj8PK2l7WJ3RER9xtqwdhxkhw/edit?usp=sharing"",""สุพรรณบุรี!J425"")"),0)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IFERROR(__xludf.DUMMYFUNCTION("IMPORTRANGE(""https://docs.google.com/spreadsheets/d/1SX6NBoVAgQJ6U1MVXOaj8PK2l7WJ3RER9xtqwdhxkhw/edit?usp=sharing"",""สุพรรณบุรี!I426"")"),0)</f>
        <v>0</v>
      </c>
      <c r="J531" s="198">
        <f ca="1">IFERROR(__xludf.DUMMYFUNCTION("IMPORTRANGE(""https://docs.google.com/spreadsheets/d/1SX6NBoVAgQJ6U1MVXOaj8PK2l7WJ3RER9xtqwdhxkhw/edit?usp=sharing"",""สุพรรณบุรี!J426"")"),0)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IFERROR(__xludf.DUMMYFUNCTION("IMPORTRANGE(""https://docs.google.com/spreadsheets/d/1SX6NBoVAgQJ6U1MVXOaj8PK2l7WJ3RER9xtqwdhxkhw/edit?usp=sharing"",""สุพรรณบุรี!M428"")"),30945)</f>
        <v>30945</v>
      </c>
      <c r="O533" s="412">
        <f t="shared" ref="O533:O537" ca="1" si="118">+IF(L533&gt;0,N533*100/L533,0)</f>
        <v>90.11357018054747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IFERROR(__xludf.DUMMYFUNCTION("IMPORTRANGE(""https://docs.google.com/spreadsheets/d/1SX6NBoVAgQJ6U1MVXOaj8PK2l7WJ3RER9xtqwdhxkhw/edit?usp=sharing"",""สุพรรณบุรี!L429"")"),0)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IFERROR(__xludf.DUMMYFUNCTION("IMPORTRANGE(""https://docs.google.com/spreadsheets/d/1SX6NBoVAgQJ6U1MVXOaj8PK2l7WJ3RER9xtqwdhxkhw/edit?usp=sharing"",""สุพรรณบุรี!M429"")"),0)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IFERROR(__xludf.DUMMYFUNCTION("IMPORTRANGE(""https://docs.google.com/spreadsheets/d/1SX6NBoVAgQJ6U1MVXOaj8PK2l7WJ3RER9xtqwdhxkhw/edit?usp=sharing"",""สุพรรณบุรี!L430"")"),34340)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IFERROR(__xludf.DUMMYFUNCTION("IMPORTRANGE(""https://docs.google.com/spreadsheets/d/1SX6NBoVAgQJ6U1MVXOaj8PK2l7WJ3RER9xtqwdhxkhw/edit?usp=sharing"",""สุพรรณบุรี!M430"")"),30945)</f>
        <v>30945</v>
      </c>
      <c r="O535" s="169">
        <f t="shared" ca="1" si="118"/>
        <v>90.11357018054747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IFERROR(__xludf.DUMMYFUNCTION("IMPORTRANGE(""https://docs.google.com/spreadsheets/d/1SX6NBoVAgQJ6U1MVXOaj8PK2l7WJ3RER9xtqwdhxkhw/edit?usp=sharing"",""สุพรรณบุรี!L431"")"),0)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IFERROR(__xludf.DUMMYFUNCTION("IMPORTRANGE(""https://docs.google.com/spreadsheets/d/1SX6NBoVAgQJ6U1MVXOaj8PK2l7WJ3RER9xtqwdhxkhw/edit?usp=sharing"",""สุพรรณบุรี!M431"")"),0)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IFERROR(__xludf.DUMMYFUNCTION("IMPORTRANGE(""https://docs.google.com/spreadsheets/d/1SX6NBoVAgQJ6U1MVXOaj8PK2l7WJ3RER9xtqwdhxkhw/edit?usp=sharing"",""สุพรรณบุรี!L432"")"),34340)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IFERROR(__xludf.DUMMYFUNCTION("IMPORTRANGE(""https://docs.google.com/spreadsheets/d/1SX6NBoVAgQJ6U1MVXOaj8PK2l7WJ3RER9xtqwdhxkhw/edit?usp=sharing"",""สุพรรณบุรี!M432"")"),30945)</f>
        <v>30945</v>
      </c>
      <c r="O537" s="169">
        <f t="shared" ca="1" si="118"/>
        <v>90.11357018054747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IFERROR(__xludf.DUMMYFUNCTION("IMPORTRANGE(""https://docs.google.com/spreadsheets/d/1SX6NBoVAgQJ6U1MVXOaj8PK2l7WJ3RER9xtqwdhxkhw/edit?usp=sharing"",""สุพรรณบุรี!M436"")"),3000)</f>
        <v>3000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IFERROR(__xludf.DUMMYFUNCTION("IMPORTRANGE(""https://docs.google.com/spreadsheets/d/1SX6NBoVAgQJ6U1MVXOaj8PK2l7WJ3RER9xtqwdhxkhw/edit?usp=sharing"",""สุพรรณบุรี!J438"")"),0)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IFERROR(__xludf.DUMMYFUNCTION("IMPORTRANGE(""https://docs.google.com/spreadsheets/d/1SX6NBoVAgQJ6U1MVXOaj8PK2l7WJ3RER9xtqwdhxkhw/edit?usp=sharing"",""สุพรรณบุรี!J439"")"),1)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IFERROR(__xludf.DUMMYFUNCTION("IMPORTRANGE(""https://docs.google.com/spreadsheets/d/1SX6NBoVAgQJ6U1MVXOaj8PK2l7WJ3RER9xtqwdhxkhw/edit?usp=sharing"",""สุพรรณบุรี!J440"")"),1)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IFERROR(__xludf.DUMMYFUNCTION("IMPORTRANGE(""https://docs.google.com/spreadsheets/d/1SX6NBoVAgQJ6U1MVXOaj8PK2l7WJ3RER9xtqwdhxkhw/edit?usp=sharing"",""สุพรรณบุรี!J441"")"),1)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IFERROR(__xludf.DUMMYFUNCTION("IMPORTRANGE(""https://docs.google.com/spreadsheets/d/1SX6NBoVAgQJ6U1MVXOaj8PK2l7WJ3RER9xtqwdhxkhw/edit?usp=sharing"",""สุพรรณบุรี!I442"")"),22)</f>
        <v>22</v>
      </c>
      <c r="J547" s="189">
        <f ca="1">IFERROR(__xludf.DUMMYFUNCTION("IMPORTRANGE(""https://docs.google.com/spreadsheets/d/1SX6NBoVAgQJ6U1MVXOaj8PK2l7WJ3RER9xtqwdhxkhw/edit?usp=sharing"",""สุพรรณบุรี!J442"")"),22)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IFERROR(__xludf.DUMMYFUNCTION("IMPORTRANGE(""https://docs.google.com/spreadsheets/d/1SX6NBoVAgQJ6U1MVXOaj8PK2l7WJ3RER9xtqwdhxkhw/edit?usp=sharing"",""สุพรรณบุรี!J166"")"),0)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IFERROR(__xludf.DUMMYFUNCTION("IMPORTRANGE(""https://docs.google.com/spreadsheets/d/1SX6NBoVAgQJ6U1MVXOaj8PK2l7WJ3RER9xtqwdhxkhw/edit?usp=sharing"",""สุพรรณบุรี!J444"")"),0)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IFERROR(__xludf.DUMMYFUNCTION("IMPORTRANGE(""https://docs.google.com/spreadsheets/d/1SX6NBoVAgQJ6U1MVXOaj8PK2l7WJ3RER9xtqwdhxkhw/edit?usp=sharing"",""สุพรรณบุรี!L447"")"),0)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IFERROR(__xludf.DUMMYFUNCTION("IMPORTRANGE(""https://docs.google.com/spreadsheets/d/1SX6NBoVAgQJ6U1MVXOaj8PK2l7WJ3RER9xtqwdhxkhw/edit?usp=sharing"",""สุพรรณบุรี!M447"")"),0)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IFERROR(__xludf.DUMMYFUNCTION("IMPORTRANGE(""https://docs.google.com/spreadsheets/d/1SX6NBoVAgQJ6U1MVXOaj8PK2l7WJ3RER9xtqwdhxkhw/edit?usp=sharing"",""สุพรรณบุรี!L448"")"),0)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IFERROR(__xludf.DUMMYFUNCTION("IMPORTRANGE(""https://docs.google.com/spreadsheets/d/1SX6NBoVAgQJ6U1MVXOaj8PK2l7WJ3RER9xtqwdhxkhw/edit?usp=sharing"",""สุพรรณบุรี!M448"")"),0)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IFERROR(__xludf.DUMMYFUNCTION("IMPORTRANGE(""https://docs.google.com/spreadsheets/d/1SX6NBoVAgQJ6U1MVXOaj8PK2l7WJ3RER9xtqwdhxkhw/edit?usp=sharing"",""สุพรรณบุรี!L449"")"),0)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IFERROR(__xludf.DUMMYFUNCTION("IMPORTRANGE(""https://docs.google.com/spreadsheets/d/1SX6NBoVAgQJ6U1MVXOaj8PK2l7WJ3RER9xtqwdhxkhw/edit?usp=sharing"",""สุพรรณบุรี!M449"")"),0)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IFERROR(__xludf.DUMMYFUNCTION("IMPORTRANGE(""https://docs.google.com/spreadsheets/d/1SX6NBoVAgQJ6U1MVXOaj8PK2l7WJ3RER9xtqwdhxkhw/edit?usp=sharing"",""สุพรรณบุรี!L450"")"),0)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IFERROR(__xludf.DUMMYFUNCTION("IMPORTRANGE(""https://docs.google.com/spreadsheets/d/1SX6NBoVAgQJ6U1MVXOaj8PK2l7WJ3RER9xtqwdhxkhw/edit?usp=sharing"",""สุพรรณบุรี!M450"")"),0)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IFERROR(__xludf.DUMMYFUNCTION("IMPORTRANGE(""https://docs.google.com/spreadsheets/d/1SX6NBoVAgQJ6U1MVXOaj8PK2l7WJ3RER9xtqwdhxkhw/edit?usp=sharing"",""สุพรรณบุรี!M451"")"),0)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IFERROR(__xludf.DUMMYFUNCTION("IMPORTRANGE(""https://docs.google.com/spreadsheets/d/1SX6NBoVAgQJ6U1MVXOaj8PK2l7WJ3RER9xtqwdhxkhw/edit?usp=sharing"",""สุพรรณบุรี!M452"")"),0)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IFERROR(__xludf.DUMMYFUNCTION("IMPORTRANGE(""https://docs.google.com/spreadsheets/d/1SX6NBoVAgQJ6U1MVXOaj8PK2l7WJ3RER9xtqwdhxkhw/edit?usp=sharing"",""สุพรรณบุรี!M453"")"),0)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IFERROR(__xludf.DUMMYFUNCTION("IMPORTRANGE(""https://docs.google.com/spreadsheets/d/1SX6NBoVAgQJ6U1MVXOaj8PK2l7WJ3RER9xtqwdhxkhw/edit?usp=sharing"",""สุพรรณบุรี!M454"")"),0)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IFERROR(__xludf.DUMMYFUNCTION("IMPORTRANGE(""https://docs.google.com/spreadsheets/d/1SX6NBoVAgQJ6U1MVXOaj8PK2l7WJ3RER9xtqwdhxkhw/edit?usp=sharing"",""สุพรรณบุรี!I455"")"),0)</f>
        <v>0</v>
      </c>
      <c r="J560" s="162">
        <f ca="1">IFERROR(__xludf.DUMMYFUNCTION("IMPORTRANGE(""https://docs.google.com/spreadsheets/d/1SX6NBoVAgQJ6U1MVXOaj8PK2l7WJ3RER9xtqwdhxkhw/edit?usp=sharing"",""สุพรรณบุรี!J455"")"),0)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IFERROR(__xludf.DUMMYFUNCTION("IMPORTRANGE(""https://docs.google.com/spreadsheets/d/1SX6NBoVAgQJ6U1MVXOaj8PK2l7WJ3RER9xtqwdhxkhw/edit?usp=sharing"",""สุพรรณบุรี!I456"")"),0)</f>
        <v>0</v>
      </c>
      <c r="J561" s="204">
        <f ca="1">IFERROR(__xludf.DUMMYFUNCTION("IMPORTRANGE(""https://docs.google.com/spreadsheets/d/1SX6NBoVAgQJ6U1MVXOaj8PK2l7WJ3RER9xtqwdhxkhw/edit?usp=sharing"",""สุพรรณบุรี!J456"")"),0)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IFERROR(__xludf.DUMMYFUNCTION("IMPORTRANGE(""https://docs.google.com/spreadsheets/d/1SX6NBoVAgQJ6U1MVXOaj8PK2l7WJ3RER9xtqwdhxkhw/edit?usp=sharing"",""สุพรรณบุรี!J459"")"),3064)</f>
        <v>3064</v>
      </c>
      <c r="K564" s="372">
        <f ca="1">IF(I564&gt;0,J564*100/I564,0)</f>
        <v>340.44444444444446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IFERROR(__xludf.DUMMYFUNCTION("IMPORTRANGE(""https://docs.google.com/spreadsheets/d/1SX6NBoVAgQJ6U1MVXOaj8PK2l7WJ3RER9xtqwdhxkhw/edit?usp=sharing"",""สุพรรณบุรี!M459"")"),88675.52)</f>
        <v>88675.520000000004</v>
      </c>
      <c r="O564" s="373">
        <f t="shared" ref="O564:O568" ca="1" si="122">+IF(L564&gt;0,N564*100/L564,0)</f>
        <v>69.23447845096814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IFERROR(__xludf.DUMMYFUNCTION("IMPORTRANGE(""https://docs.google.com/spreadsheets/d/1SX6NBoVAgQJ6U1MVXOaj8PK2l7WJ3RER9xtqwdhxkhw/edit?usp=sharing"",""สุพรรณบุรี!L460"")"),0)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IFERROR(__xludf.DUMMYFUNCTION("IMPORTRANGE(""https://docs.google.com/spreadsheets/d/1SX6NBoVAgQJ6U1MVXOaj8PK2l7WJ3RER9xtqwdhxkhw/edit?usp=sharing"",""สุพรรณบุรี!M460"")"),0)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5"/>
      <c r="N566" s="169">
        <f ca="1">IFERROR(__xludf.DUMMYFUNCTION("IMPORTRANGE(""https://docs.google.com/spreadsheets/d/1SX6NBoVAgQJ6U1MVXOaj8PK2l7WJ3RER9xtqwdhxkhw/edit?usp=sharing"",""สุพรรณบุรี!M461"")"),88675.52)</f>
        <v>88675.520000000004</v>
      </c>
      <c r="O566" s="169">
        <f t="shared" ca="1" si="122"/>
        <v>69.23447845096814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IFERROR(__xludf.DUMMYFUNCTION("IMPORTRANGE(""https://docs.google.com/spreadsheets/d/1SX6NBoVAgQJ6U1MVXOaj8PK2l7WJ3RER9xtqwdhxkhw/edit?usp=sharing"",""สุพรรณบุรี!L462"")"),0)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IFERROR(__xludf.DUMMYFUNCTION("IMPORTRANGE(""https://docs.google.com/spreadsheets/d/1SX6NBoVAgQJ6U1MVXOaj8PK2l7WJ3RER9xtqwdhxkhw/edit?usp=sharing"",""สุพรรณบุรี!M462"")"),0)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IFERROR(__xludf.DUMMYFUNCTION("IMPORTRANGE(""https://docs.google.com/spreadsheets/d/1SX6NBoVAgQJ6U1MVXOaj8PK2l7WJ3RER9xtqwdhxkhw/edit?usp=sharing"",""สุพรรณบุรี!L463"")"),128080)</f>
        <v>128080</v>
      </c>
      <c r="M568" s="169"/>
      <c r="N568" s="169">
        <f ca="1">IFERROR(__xludf.DUMMYFUNCTION("IMPORTRANGE(""https://docs.google.com/spreadsheets/d/1SX6NBoVAgQJ6U1MVXOaj8PK2l7WJ3RER9xtqwdhxkhw/edit?usp=sharing"",""สุพรรณบุรี!M463"")"),88675.52)</f>
        <v>88675.520000000004</v>
      </c>
      <c r="O568" s="169">
        <f t="shared" ca="1" si="122"/>
        <v>69.23447845096814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IFERROR(__xludf.DUMMYFUNCTION("IMPORTRANGE(""https://docs.google.com/spreadsheets/d/1SX6NBoVAgQJ6U1MVXOaj8PK2l7WJ3RER9xtqwdhxkhw/edit?usp=sharing"",""สุพรรณบุรี!M464"")"),0)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IFERROR(__xludf.DUMMYFUNCTION("IMPORTRANGE(""https://docs.google.com/spreadsheets/d/1SX6NBoVAgQJ6U1MVXOaj8PK2l7WJ3RER9xtqwdhxkhw/edit?usp=sharing"",""สุพรรณบุรี!M465"")"),0)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IFERROR(__xludf.DUMMYFUNCTION("IMPORTRANGE(""https://docs.google.com/spreadsheets/d/1SX6NBoVAgQJ6U1MVXOaj8PK2l7WJ3RER9xtqwdhxkhw/edit?usp=sharing"",""สุพรรณบุรี!M466"")"),86935.52)</f>
        <v>86935.52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IFERROR(__xludf.DUMMYFUNCTION("IMPORTRANGE(""https://docs.google.com/spreadsheets/d/1SX6NBoVAgQJ6U1MVXOaj8PK2l7WJ3RER9xtqwdhxkhw/edit?usp=sharing"",""สุพรรณบุรี!M467"")"),1740)</f>
        <v>1740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IFERROR(__xludf.DUMMYFUNCTION("IMPORTRANGE(""https://docs.google.com/spreadsheets/d/1SX6NBoVAgQJ6U1MVXOaj8PK2l7WJ3RER9xtqwdhxkhw/edit?usp=sharing"",""สุพรรณบุรี!J468"")"),3064)</f>
        <v>3064</v>
      </c>
      <c r="K573" s="202">
        <f ca="1">IF(I573&gt;0,J573*100/I573,0)</f>
        <v>340.44444444444446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IFERROR(__xludf.DUMMYFUNCTION("IMPORTRANGE(""https://docs.google.com/spreadsheets/d/1SX6NBoVAgQJ6U1MVXOaj8PK2l7WJ3RER9xtqwdhxkhw/edit?usp=sharing"",""สุพรรณบุรี!I470"")"),0)</f>
        <v>0</v>
      </c>
      <c r="J575" s="198">
        <f ca="1">IFERROR(__xludf.DUMMYFUNCTION("IMPORTRANGE(""https://docs.google.com/spreadsheets/d/1SX6NBoVAgQJ6U1MVXOaj8PK2l7WJ3RER9xtqwdhxkhw/edit?usp=sharing"",""สุพรรณบุรี!J470"")"),1)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IFERROR(__xludf.DUMMYFUNCTION("IMPORTRANGE(""https://docs.google.com/spreadsheets/d/1SX6NBoVAgQJ6U1MVXOaj8PK2l7WJ3RER9xtqwdhxkhw/edit?usp=sharing"",""สุพรรณบุรี!I471"")"),0)</f>
        <v>0</v>
      </c>
      <c r="J576" s="198">
        <f ca="1">IFERROR(__xludf.DUMMYFUNCTION("IMPORTRANGE(""https://docs.google.com/spreadsheets/d/1SX6NBoVAgQJ6U1MVXOaj8PK2l7WJ3RER9xtqwdhxkhw/edit?usp=sharing"",""สุพรรณบุรี!J471"")"),124)</f>
        <v>124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IFERROR(__xludf.DUMMYFUNCTION("IMPORTRANGE(""https://docs.google.com/spreadsheets/d/1SX6NBoVAgQJ6U1MVXOaj8PK2l7WJ3RER9xtqwdhxkhw/edit?usp=sharing"",""สุพรรณบุรี!I472"")"),0)</f>
        <v>0</v>
      </c>
      <c r="J577" s="189">
        <f ca="1">IFERROR(__xludf.DUMMYFUNCTION("IMPORTRANGE(""https://docs.google.com/spreadsheets/d/1SX6NBoVAgQJ6U1MVXOaj8PK2l7WJ3RER9xtqwdhxkhw/edit?usp=sharing"",""สุพรรณบุรี!J472"")"),2940)</f>
        <v>2940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IFERROR(__xludf.DUMMYFUNCTION("IMPORTRANGE(""https://docs.google.com/spreadsheets/d/1SX6NBoVAgQJ6U1MVXOaj8PK2l7WJ3RER9xtqwdhxkhw/edit?usp=sharing"",""สุพรรณบุรี!I473"")"),0)</f>
        <v>0</v>
      </c>
      <c r="J578" s="198">
        <f ca="1">IFERROR(__xludf.DUMMYFUNCTION("IMPORTRANGE(""https://docs.google.com/spreadsheets/d/1SX6NBoVAgQJ6U1MVXOaj8PK2l7WJ3RER9xtqwdhxkhw/edit?usp=sharing"",""สุพรรณบุรี!J473"")"),0)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IFERROR(__xludf.DUMMYFUNCTION("IMPORTRANGE(""https://docs.google.com/spreadsheets/d/1SX6NBoVAgQJ6U1MVXOaj8PK2l7WJ3RER9xtqwdhxkhw/edit?usp=sharing"",""สุพรรณบุรี!I474"")"),0)</f>
        <v>0</v>
      </c>
      <c r="J579" s="198">
        <f ca="1">IFERROR(__xludf.DUMMYFUNCTION("IMPORTRANGE(""https://docs.google.com/spreadsheets/d/1SX6NBoVAgQJ6U1MVXOaj8PK2l7WJ3RER9xtqwdhxkhw/edit?usp=sharing"",""สุพรรณบุรี!J474"")"),0)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IFERROR(__xludf.DUMMYFUNCTION("IMPORTRANGE(""https://docs.google.com/spreadsheets/d/1SX6NBoVAgQJ6U1MVXOaj8PK2l7WJ3RER9xtqwdhxkhw/edit?usp=sharing"",""สุพรรณบุรี!J475"")"),16)</f>
        <v>16</v>
      </c>
      <c r="K580" s="372">
        <f ca="1">IF(I580&gt;0,J580*100/I580,0)</f>
        <v>20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IFERROR(__xludf.DUMMYFUNCTION("IMPORTRANGE(""https://docs.google.com/spreadsheets/d/1SX6NBoVAgQJ6U1MVXOaj8PK2l7WJ3RER9xtqwdhxkhw/edit?usp=sharing"",""สุพรรณบุรี!M475"")"),148750.729999999)</f>
        <v>148750.72999999899</v>
      </c>
      <c r="O580" s="373">
        <f t="shared" ref="O580:O584" ca="1" si="124">+IF(L580&gt;0,N580*100/L580,0)</f>
        <v>48.236179389065114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IFERROR(__xludf.DUMMYFUNCTION("IMPORTRANGE(""https://docs.google.com/spreadsheets/d/1SX6NBoVAgQJ6U1MVXOaj8PK2l7WJ3RER9xtqwdhxkhw/edit?usp=sharing"",""สุพรรณบุรี!L476"")"),0)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IFERROR(__xludf.DUMMYFUNCTION("IMPORTRANGE(""https://docs.google.com/spreadsheets/d/1SX6NBoVAgQJ6U1MVXOaj8PK2l7WJ3RER9xtqwdhxkhw/edit?usp=sharing"",""สุพรรณบุรี!M476"")"),0)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5"/>
      <c r="N582" s="169">
        <f ca="1">IFERROR(__xludf.DUMMYFUNCTION("IMPORTRANGE(""https://docs.google.com/spreadsheets/d/1SX6NBoVAgQJ6U1MVXOaj8PK2l7WJ3RER9xtqwdhxkhw/edit?usp=sharing"",""สุพรรณบุรี!M477"")"),148750.729999999)</f>
        <v>148750.72999999899</v>
      </c>
      <c r="O582" s="169">
        <f t="shared" ca="1" si="124"/>
        <v>48.236179389065114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IFERROR(__xludf.DUMMYFUNCTION("IMPORTRANGE(""https://docs.google.com/spreadsheets/d/1SX6NBoVAgQJ6U1MVXOaj8PK2l7WJ3RER9xtqwdhxkhw/edit?usp=sharing"",""สุพรรณบุรี!L478"")"),0)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IFERROR(__xludf.DUMMYFUNCTION("IMPORTRANGE(""https://docs.google.com/spreadsheets/d/1SX6NBoVAgQJ6U1MVXOaj8PK2l7WJ3RER9xtqwdhxkhw/edit?usp=sharing"",""สุพรรณบุรี!M478"")"),0)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IFERROR(__xludf.DUMMYFUNCTION("IMPORTRANGE(""https://docs.google.com/spreadsheets/d/1SX6NBoVAgQJ6U1MVXOaj8PK2l7WJ3RER9xtqwdhxkhw/edit?usp=sharing"",""สุพรรณบุรี!L479"")"),308380)</f>
        <v>308380</v>
      </c>
      <c r="M584" s="169"/>
      <c r="N584" s="169">
        <f ca="1">IFERROR(__xludf.DUMMYFUNCTION("IMPORTRANGE(""https://docs.google.com/spreadsheets/d/1SX6NBoVAgQJ6U1MVXOaj8PK2l7WJ3RER9xtqwdhxkhw/edit?usp=sharing"",""สุพรรณบุรี!M479"")"),148750.729999999)</f>
        <v>148750.72999999899</v>
      </c>
      <c r="O584" s="169">
        <f t="shared" ca="1" si="124"/>
        <v>48.236179389065114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IFERROR(__xludf.DUMMYFUNCTION("IMPORTRANGE(""https://docs.google.com/spreadsheets/d/1SX6NBoVAgQJ6U1MVXOaj8PK2l7WJ3RER9xtqwdhxkhw/edit?usp=sharing"",""สุพรรณบุรี!M480"")"),0)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IFERROR(__xludf.DUMMYFUNCTION("IMPORTRANGE(""https://docs.google.com/spreadsheets/d/1SX6NBoVAgQJ6U1MVXOaj8PK2l7WJ3RER9xtqwdhxkhw/edit?usp=sharing"",""สุพรรณบุรี!M481"")"),0)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IFERROR(__xludf.DUMMYFUNCTION("IMPORTRANGE(""https://docs.google.com/spreadsheets/d/1SX6NBoVAgQJ6U1MVXOaj8PK2l7WJ3RER9xtqwdhxkhw/edit?usp=sharing"",""สุพรรณบุรี!M482"")"),79010.73)</f>
        <v>79010.73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IFERROR(__xludf.DUMMYFUNCTION("IMPORTRANGE(""https://docs.google.com/spreadsheets/d/1SX6NBoVAgQJ6U1MVXOaj8PK2l7WJ3RER9xtqwdhxkhw/edit?usp=sharing"",""สุพรรณบุรี!M483"")"),69740)</f>
        <v>69740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IFERROR(__xludf.DUMMYFUNCTION("IMPORTRANGE(""https://docs.google.com/spreadsheets/d/1SX6NBoVAgQJ6U1MVXOaj8PK2l7WJ3RER9xtqwdhxkhw/edit?usp=sharing"",""สุพรรณบุรี!I484"")"),80)</f>
        <v>80</v>
      </c>
      <c r="J589" s="188">
        <f ca="1">IFERROR(__xludf.DUMMYFUNCTION("IMPORTRANGE(""https://docs.google.com/spreadsheets/d/1SX6NBoVAgQJ6U1MVXOaj8PK2l7WJ3RER9xtqwdhxkhw/edit?usp=sharing"",""สุพรรณบุรี!J484"")"),136)</f>
        <v>136</v>
      </c>
      <c r="K589" s="163">
        <f t="shared" ref="K589:K596" ca="1" si="125">IF(I589&gt;0,J589*100/I589,0)</f>
        <v>170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8">
        <f ca="1">IFERROR(__xludf.DUMMYFUNCTION("IMPORTRANGE(""https://docs.google.com/spreadsheets/d/1SX6NBoVAgQJ6U1MVXOaj8PK2l7WJ3RER9xtqwdhxkhw/edit?usp=sharing"",""สุพรรณบุรี!J485"")"),78.02)</f>
        <v>78.02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IFERROR(__xludf.DUMMYFUNCTION("IMPORTRANGE(""https://docs.google.com/spreadsheets/d/1SX6NBoVAgQJ6U1MVXOaj8PK2l7WJ3RER9xtqwdhxkhw/edit?usp=sharing"",""สุพรรณบุรี!I486"")"),80)</f>
        <v>80</v>
      </c>
      <c r="J591" s="188">
        <f ca="1">IFERROR(__xludf.DUMMYFUNCTION("IMPORTRANGE(""https://docs.google.com/spreadsheets/d/1SX6NBoVAgQJ6U1MVXOaj8PK2l7WJ3RER9xtqwdhxkhw/edit?usp=sharing"",""สุพรรณบุรี!J486"")"),98)</f>
        <v>98</v>
      </c>
      <c r="K591" s="163">
        <f t="shared" ca="1" si="125"/>
        <v>122.5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8">
        <f ca="1">IFERROR(__xludf.DUMMYFUNCTION("IMPORTRANGE(""https://docs.google.com/spreadsheets/d/1SX6NBoVAgQJ6U1MVXOaj8PK2l7WJ3RER9xtqwdhxkhw/edit?usp=sharing"",""สุพรรณบุรี!J487"")"),52.1)</f>
        <v>52.1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IFERROR(__xludf.DUMMYFUNCTION("IMPORTRANGE(""https://docs.google.com/spreadsheets/d/1SX6NBoVAgQJ6U1MVXOaj8PK2l7WJ3RER9xtqwdhxkhw/edit?usp=sharing"",""สุพรรณบุรี!I488"")"),80)</f>
        <v>80</v>
      </c>
      <c r="J593" s="188">
        <f ca="1">IFERROR(__xludf.DUMMYFUNCTION("IMPORTRANGE(""https://docs.google.com/spreadsheets/d/1SX6NBoVAgQJ6U1MVXOaj8PK2l7WJ3RER9xtqwdhxkhw/edit?usp=sharing"",""สุพรรณบุรี!J488"")"),6)</f>
        <v>6</v>
      </c>
      <c r="K593" s="163">
        <f t="shared" ca="1" si="125"/>
        <v>7.5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8">
        <f ca="1">IFERROR(__xludf.DUMMYFUNCTION("IMPORTRANGE(""https://docs.google.com/spreadsheets/d/1SX6NBoVAgQJ6U1MVXOaj8PK2l7WJ3RER9xtqwdhxkhw/edit?usp=sharing"",""สุพรรณบุรี!J489"")"),5.55)</f>
        <v>5.55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IFERROR(__xludf.DUMMYFUNCTION("IMPORTRANGE(""https://docs.google.com/spreadsheets/d/1SX6NBoVAgQJ6U1MVXOaj8PK2l7WJ3RER9xtqwdhxkhw/edit?usp=sharing"",""สุพรรณบุรี!I490"")"),80)</f>
        <v>80</v>
      </c>
      <c r="J595" s="188">
        <f ca="1">IFERROR(__xludf.DUMMYFUNCTION("IMPORTRANGE(""https://docs.google.com/spreadsheets/d/1SX6NBoVAgQJ6U1MVXOaj8PK2l7WJ3RER9xtqwdhxkhw/edit?usp=sharing"",""สุพรรณบุรี!J490"")"),16)</f>
        <v>16</v>
      </c>
      <c r="K595" s="163">
        <f t="shared" ca="1" si="125"/>
        <v>20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IFERROR(__xludf.DUMMYFUNCTION("IMPORTRANGE(""https://docs.google.com/spreadsheets/d/1SX6NBoVAgQJ6U1MVXOaj8PK2l7WJ3RER9xtqwdhxkhw/edit?usp=sharing"",""สุพรรณบุรี!I491"")"),0)</f>
        <v>0</v>
      </c>
      <c r="J596" s="242">
        <f ca="1">IFERROR(__xludf.DUMMYFUNCTION("IMPORTRANGE(""https://docs.google.com/spreadsheets/d/1SX6NBoVAgQJ6U1MVXOaj8PK2l7WJ3RER9xtqwdhxkhw/edit?usp=sharing"",""สุพรรณบุรี!J491"")"),13.2)</f>
        <v>13.2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7">
        <f ca="1">IFERROR(__xludf.DUMMYFUNCTION("IMPORTRANGE(""https://docs.google.com/spreadsheets/d/1SX6NBoVAgQJ6U1MVXOaj8PK2l7WJ3RER9xtqwdhxkhw/edit?usp=sharing"",""สุพรรณบุรี!J492"")"),0)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IFERROR(__xludf.DUMMYFUNCTION("IMPORTRANGE(""https://docs.google.com/spreadsheets/d/1SX6NBoVAgQJ6U1MVXOaj8PK2l7WJ3RER9xtqwdhxkhw/edit?usp=sharing"",""สุพรรณบุรี!L492"")"),8900)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IFERROR(__xludf.DUMMYFUNCTION("IMPORTRANGE(""https://docs.google.com/spreadsheets/d/1SX6NBoVAgQJ6U1MVXOaj8PK2l7WJ3RER9xtqwdhxkhw/edit?usp=sharing"",""สุพรรณบุรี!M492"")"),12895)</f>
        <v>12895</v>
      </c>
      <c r="O597" s="412">
        <f t="shared" ref="O597:O601" ca="1" si="126">+IF(L597&gt;0,N597*100/L597,0)</f>
        <v>144.88764044943821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IFERROR(__xludf.DUMMYFUNCTION("IMPORTRANGE(""https://docs.google.com/spreadsheets/d/1SX6NBoVAgQJ6U1MVXOaj8PK2l7WJ3RER9xtqwdhxkhw/edit?usp=sharing"",""สุพรรณบุรี!L493"")"),0)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IFERROR(__xludf.DUMMYFUNCTION("IMPORTRANGE(""https://docs.google.com/spreadsheets/d/1SX6NBoVAgQJ6U1MVXOaj8PK2l7WJ3RER9xtqwdhxkhw/edit?usp=sharing"",""สุพรรณบุรี!M493"")"),0)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IFERROR(__xludf.DUMMYFUNCTION("IMPORTRANGE(""https://docs.google.com/spreadsheets/d/1SX6NBoVAgQJ6U1MVXOaj8PK2l7WJ3RER9xtqwdhxkhw/edit?usp=sharing"",""สุพรรณบุรี!L494"")"),8900)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IFERROR(__xludf.DUMMYFUNCTION("IMPORTRANGE(""https://docs.google.com/spreadsheets/d/1SX6NBoVAgQJ6U1MVXOaj8PK2l7WJ3RER9xtqwdhxkhw/edit?usp=sharing"",""สุพรรณบุรี!M494"")"),12895)</f>
        <v>12895</v>
      </c>
      <c r="O599" s="169">
        <f t="shared" ca="1" si="126"/>
        <v>144.88764044943821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IFERROR(__xludf.DUMMYFUNCTION("IMPORTRANGE(""https://docs.google.com/spreadsheets/d/1SX6NBoVAgQJ6U1MVXOaj8PK2l7WJ3RER9xtqwdhxkhw/edit?usp=sharing"",""สุพรรณบุรี!L495"")"),0)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IFERROR(__xludf.DUMMYFUNCTION("IMPORTRANGE(""https://docs.google.com/spreadsheets/d/1SX6NBoVAgQJ6U1MVXOaj8PK2l7WJ3RER9xtqwdhxkhw/edit?usp=sharing"",""สุพรรณบุรี!M495"")"),0)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IFERROR(__xludf.DUMMYFUNCTION("IMPORTRANGE(""https://docs.google.com/spreadsheets/d/1SX6NBoVAgQJ6U1MVXOaj8PK2l7WJ3RER9xtqwdhxkhw/edit?usp=sharing"",""สุพรรณบุรี!L496"")"),8900)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IFERROR(__xludf.DUMMYFUNCTION("IMPORTRANGE(""https://docs.google.com/spreadsheets/d/1SX6NBoVAgQJ6U1MVXOaj8PK2l7WJ3RER9xtqwdhxkhw/edit?usp=sharing"",""สุพรรณบุรี!M496"")"),12895)</f>
        <v>12895</v>
      </c>
      <c r="O601" s="169">
        <f t="shared" ca="1" si="126"/>
        <v>144.88764044943821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IFERROR(__xludf.DUMMYFUNCTION("IMPORTRANGE(""https://docs.google.com/spreadsheets/d/1SX6NBoVAgQJ6U1MVXOaj8PK2l7WJ3RER9xtqwdhxkhw/edit?usp=sharing"",""สุพรรณบุรี!M497"")"),0)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IFERROR(__xludf.DUMMYFUNCTION("IMPORTRANGE(""https://docs.google.com/spreadsheets/d/1SX6NBoVAgQJ6U1MVXOaj8PK2l7WJ3RER9xtqwdhxkhw/edit?usp=sharing"",""สุพรรณบุรี!M498"")"),0)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IFERROR(__xludf.DUMMYFUNCTION("IMPORTRANGE(""https://docs.google.com/spreadsheets/d/1SX6NBoVAgQJ6U1MVXOaj8PK2l7WJ3RER9xtqwdhxkhw/edit?usp=sharing"",""สุพรรณบุรี!M500"")"),12895)</f>
        <v>12895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IFERROR(__xludf.DUMMYFUNCTION("IMPORTRANGE(""https://docs.google.com/spreadsheets/d/1SX6NBoVAgQJ6U1MVXOaj8PK2l7WJ3RER9xtqwdhxkhw/edit?usp=sharing"",""สุพรรณบุรี!J502"")"),0)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IFERROR(__xludf.DUMMYFUNCTION("IMPORTRANGE(""https://docs.google.com/spreadsheets/d/1SX6NBoVAgQJ6U1MVXOaj8PK2l7WJ3RER9xtqwdhxkhw/edit?usp=sharing"",""สุพรรณบุรี!J503"")"),1)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IFERROR(__xludf.DUMMYFUNCTION("IMPORTRANGE(""https://docs.google.com/spreadsheets/d/1SX6NBoVAgQJ6U1MVXOaj8PK2l7WJ3RER9xtqwdhxkhw/edit?usp=sharing"",""สุพรรณบุรี!J166"")"),0)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IFERROR(__xludf.DUMMYFUNCTION("IMPORTRANGE(""https://docs.google.com/spreadsheets/d/1SX6NBoVAgQJ6U1MVXOaj8PK2l7WJ3RER9xtqwdhxkhw/edit?usp=sharing"",""สุพรรณบุรี!J166"")"),0)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IFERROR(__xludf.DUMMYFUNCTION("IMPORTRANGE(""https://docs.google.com/spreadsheets/d/1SX6NBoVAgQJ6U1MVXOaj8PK2l7WJ3RER9xtqwdhxkhw/edit?usp=sharing"",""สุพรรณบุรี!I506"")"),100)</f>
        <v>100</v>
      </c>
      <c r="J611" s="162">
        <f ca="1">IFERROR(__xludf.DUMMYFUNCTION("IMPORTRANGE(""https://docs.google.com/spreadsheets/d/1SX6NBoVAgQJ6U1MVXOaj8PK2l7WJ3RER9xtqwdhxkhw/edit?usp=sharing"",""สุพรรณบุรี!J506"")"),0)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IFERROR(__xludf.DUMMYFUNCTION("IMPORTRANGE(""https://docs.google.com/spreadsheets/d/1SX6NBoVAgQJ6U1MVXOaj8PK2l7WJ3RER9xtqwdhxkhw/edit?usp=sharing"",""สุพรรณบุรี!I507"")"),0)</f>
        <v>0</v>
      </c>
      <c r="J612" s="198">
        <f ca="1">IFERROR(__xludf.DUMMYFUNCTION("IMPORTRANGE(""https://docs.google.com/spreadsheets/d/1SX6NBoVAgQJ6U1MVXOaj8PK2l7WJ3RER9xtqwdhxkhw/edit?usp=sharing"",""สุพรรณบุรี!J507"")"),188)</f>
        <v>188</v>
      </c>
      <c r="K612" s="163">
        <f t="shared" ca="1" si="127"/>
        <v>188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IFERROR(__xludf.DUMMYFUNCTION("IMPORTRANGE(""https://docs.google.com/spreadsheets/d/1SX6NBoVAgQJ6U1MVXOaj8PK2l7WJ3RER9xtqwdhxkhw/edit?usp=sharing"",""สุพรรณบุรี!I508"")"),0)</f>
        <v>0</v>
      </c>
      <c r="J613" s="198">
        <f ca="1">IFERROR(__xludf.DUMMYFUNCTION("IMPORTRANGE(""https://docs.google.com/spreadsheets/d/1SX6NBoVAgQJ6U1MVXOaj8PK2l7WJ3RER9xtqwdhxkhw/edit?usp=sharing"",""สุพรรณบุรี!J508"")"),188)</f>
        <v>188</v>
      </c>
      <c r="K613" s="163">
        <f t="shared" ca="1" si="127"/>
        <v>188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IFERROR(__xludf.DUMMYFUNCTION("IMPORTRANGE(""https://docs.google.com/spreadsheets/d/1SX6NBoVAgQJ6U1MVXOaj8PK2l7WJ3RER9xtqwdhxkhw/edit?usp=sharing"",""สุพรรณบุรี!I509"")"),0)</f>
        <v>0</v>
      </c>
      <c r="J614" s="198">
        <f ca="1">IFERROR(__xludf.DUMMYFUNCTION("IMPORTRANGE(""https://docs.google.com/spreadsheets/d/1SX6NBoVAgQJ6U1MVXOaj8PK2l7WJ3RER9xtqwdhxkhw/edit?usp=sharing"",""สุพรรณบุรี!J509"")"),188)</f>
        <v>188</v>
      </c>
      <c r="K614" s="163">
        <f t="shared" ca="1" si="127"/>
        <v>188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IFERROR(__xludf.DUMMYFUNCTION("IMPORTRANGE(""https://docs.google.com/spreadsheets/d/1SX6NBoVAgQJ6U1MVXOaj8PK2l7WJ3RER9xtqwdhxkhw/edit?usp=sharing"",""สุพรรณบุรี!I510"")"),0)</f>
        <v>0</v>
      </c>
      <c r="J615" s="198">
        <f ca="1">IFERROR(__xludf.DUMMYFUNCTION("IMPORTRANGE(""https://docs.google.com/spreadsheets/d/1SX6NBoVAgQJ6U1MVXOaj8PK2l7WJ3RER9xtqwdhxkhw/edit?usp=sharing"",""สุพรรณบุรี!J510"")"),105)</f>
        <v>105</v>
      </c>
      <c r="K615" s="163">
        <f t="shared" ca="1" si="127"/>
        <v>105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IFERROR(__xludf.DUMMYFUNCTION("IMPORTRANGE(""https://docs.google.com/spreadsheets/d/1SX6NBoVAgQJ6U1MVXOaj8PK2l7WJ3RER9xtqwdhxkhw/edit?usp=sharing"",""สุพรรณบุรี!I511"")"),0)</f>
        <v>0</v>
      </c>
      <c r="J616" s="198">
        <f ca="1">IFERROR(__xludf.DUMMYFUNCTION("IMPORTRANGE(""https://docs.google.com/spreadsheets/d/1SX6NBoVAgQJ6U1MVXOaj8PK2l7WJ3RER9xtqwdhxkhw/edit?usp=sharing"",""สุพรรณบุรี!J511"")"),105)</f>
        <v>105</v>
      </c>
      <c r="K616" s="163">
        <f t="shared" ca="1" si="127"/>
        <v>105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IFERROR(__xludf.DUMMYFUNCTION("IMPORTRANGE(""https://docs.google.com/spreadsheets/d/1SX6NBoVAgQJ6U1MVXOaj8PK2l7WJ3RER9xtqwdhxkhw/edit?usp=sharing"",""สุพรรณบุรี!I512"")"),0)</f>
        <v>0</v>
      </c>
      <c r="J617" s="188">
        <f ca="1">IFERROR(__xludf.DUMMYFUNCTION("IMPORTRANGE(""https://docs.google.com/spreadsheets/d/1SX6NBoVAgQJ6U1MVXOaj8PK2l7WJ3RER9xtqwdhxkhw/edit?usp=sharing"",""สุพรรณบุรี!J512"")"),0)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IFERROR(__xludf.DUMMYFUNCTION("IMPORTRANGE(""https://docs.google.com/spreadsheets/d/1SX6NBoVAgQJ6U1MVXOaj8PK2l7WJ3RER9xtqwdhxkhw/edit?usp=sharing"",""สุพรรณบุรี!I513"")"),0)</f>
        <v>0</v>
      </c>
      <c r="J618" s="189">
        <f ca="1">IFERROR(__xludf.DUMMYFUNCTION("IMPORTRANGE(""https://docs.google.com/spreadsheets/d/1SX6NBoVAgQJ6U1MVXOaj8PK2l7WJ3RER9xtqwdhxkhw/edit?usp=sharing"",""สุพรรณบุรี!J513"")"),0)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IFERROR(__xludf.DUMMYFUNCTION("IMPORTRANGE(""https://docs.google.com/spreadsheets/d/1SX6NBoVAgQJ6U1MVXOaj8PK2l7WJ3RER9xtqwdhxkhw/edit?usp=sharing"",""สุพรรณบุรี!I514"")"),0)</f>
        <v>0</v>
      </c>
      <c r="J619" s="189">
        <f ca="1">IFERROR(__xludf.DUMMYFUNCTION("IMPORTRANGE(""https://docs.google.com/spreadsheets/d/1SX6NBoVAgQJ6U1MVXOaj8PK2l7WJ3RER9xtqwdhxkhw/edit?usp=sharing"",""สุพรรณบุรี!J514"")"),0)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IFERROR(__xludf.DUMMYFUNCTION("IMPORTRANGE(""https://docs.google.com/spreadsheets/d/1SX6NBoVAgQJ6U1MVXOaj8PK2l7WJ3RER9xtqwdhxkhw/edit?usp=sharing"",""สุพรรณบุรี!I515"")"),73)</f>
        <v>73</v>
      </c>
      <c r="J620" s="203">
        <f ca="1">IFERROR(__xludf.DUMMYFUNCTION("IMPORTRANGE(""https://docs.google.com/spreadsheets/d/1SX6NBoVAgQJ6U1MVXOaj8PK2l7WJ3RER9xtqwdhxkhw/edit?usp=sharing"",""สุพรรณบุรี!J515"")"),0)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IFERROR(__xludf.DUMMYFUNCTION("IMPORTRANGE(""https://docs.google.com/spreadsheets/d/1SX6NBoVAgQJ6U1MVXOaj8PK2l7WJ3RER9xtqwdhxkhw/edit?usp=sharing"",""สุพรรณบุรี!I516"")"),0)</f>
        <v>0</v>
      </c>
      <c r="J621" s="203">
        <f ca="1">IFERROR(__xludf.DUMMYFUNCTION("IMPORTRANGE(""https://docs.google.com/spreadsheets/d/1SX6NBoVAgQJ6U1MVXOaj8PK2l7WJ3RER9xtqwdhxkhw/edit?usp=sharing"",""สุพรรณบุรี!J516"")"),0)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IFERROR(__xludf.DUMMYFUNCTION("IMPORTRANGE(""https://docs.google.com/spreadsheets/d/1SX6NBoVAgQJ6U1MVXOaj8PK2l7WJ3RER9xtqwdhxkhw/edit?usp=sharing"",""สุพรรณบุรี!I517"")"),0)</f>
        <v>0</v>
      </c>
      <c r="J622" s="189">
        <f ca="1">IFERROR(__xludf.DUMMYFUNCTION("IMPORTRANGE(""https://docs.google.com/spreadsheets/d/1SX6NBoVAgQJ6U1MVXOaj8PK2l7WJ3RER9xtqwdhxkhw/edit?usp=sharing"",""สุพรรณบุรี!J517"")"),0)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IFERROR(__xludf.DUMMYFUNCTION("IMPORTRANGE(""https://docs.google.com/spreadsheets/d/1SX6NBoVAgQJ6U1MVXOaj8PK2l7WJ3RER9xtqwdhxkhw/edit?usp=sharing"",""สุพรรณบุรี!I518"")"),0)</f>
        <v>0</v>
      </c>
      <c r="J623" s="189">
        <f ca="1">IFERROR(__xludf.DUMMYFUNCTION("IMPORTRANGE(""https://docs.google.com/spreadsheets/d/1SX6NBoVAgQJ6U1MVXOaj8PK2l7WJ3RER9xtqwdhxkhw/edit?usp=sharing"",""สุพรรณบุรี!J518"")"),0)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IFERROR(__xludf.DUMMYFUNCTION("IMPORTRANGE(""https://docs.google.com/spreadsheets/d/1SX6NBoVAgQJ6U1MVXOaj8PK2l7WJ3RER9xtqwdhxkhw/edit?usp=sharing"",""สุพรรณบุรี!I519"")"),0)</f>
        <v>0</v>
      </c>
      <c r="J624" s="188">
        <f ca="1">IFERROR(__xludf.DUMMYFUNCTION("IMPORTRANGE(""https://docs.google.com/spreadsheets/d/1SX6NBoVAgQJ6U1MVXOaj8PK2l7WJ3RER9xtqwdhxkhw/edit?usp=sharing"",""สุพรรณบุรี!J519"")"),0)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IFERROR(__xludf.DUMMYFUNCTION("IMPORTRANGE(""https://docs.google.com/spreadsheets/d/1SX6NBoVAgQJ6U1MVXOaj8PK2l7WJ3RER9xtqwdhxkhw/edit?usp=sharing"",""สุพรรณบุรี!I520"")"),0)</f>
        <v>0</v>
      </c>
      <c r="J625" s="189">
        <f ca="1">IFERROR(__xludf.DUMMYFUNCTION("IMPORTRANGE(""https://docs.google.com/spreadsheets/d/1SX6NBoVAgQJ6U1MVXOaj8PK2l7WJ3RER9xtqwdhxkhw/edit?usp=sharing"",""สุพรรณบุรี!J520"")"),0)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IFERROR(__xludf.DUMMYFUNCTION("IMPORTRANGE(""https://docs.google.com/spreadsheets/d/1SX6NBoVAgQJ6U1MVXOaj8PK2l7WJ3RER9xtqwdhxkhw/edit?usp=sharing"",""สุพรรณบุรี!I521"")"),0)</f>
        <v>0</v>
      </c>
      <c r="J626" s="189">
        <f ca="1">IFERROR(__xludf.DUMMYFUNCTION("IMPORTRANGE(""https://docs.google.com/spreadsheets/d/1SX6NBoVAgQJ6U1MVXOaj8PK2l7WJ3RER9xtqwdhxkhw/edit?usp=sharing"",""สุพรรณบุรี!J521"")"),0)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2">
        <f ca="1">IFERROR(__xludf.DUMMYFUNCTION("IMPORTRANGE(""https://docs.google.com/spreadsheets/d/1SX6NBoVAgQJ6U1MVXOaj8PK2l7WJ3RER9xtqwdhxkhw/edit?usp=sharing"",""สุพรรณบุรี!J523"")"),11670000)</f>
        <v>11670000</v>
      </c>
      <c r="K628" s="343">
        <f t="shared" ref="K628:K635" ca="1" si="129">IF(I628&gt;0,J628*100/I628,0)</f>
        <v>53.562872404160707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IFERROR(__xludf.DUMMYFUNCTION("IMPORTRANGE(""https://docs.google.com/spreadsheets/d/1SX6NBoVAgQJ6U1MVXOaj8PK2l7WJ3RER9xtqwdhxkhw/edit?usp=sharing"",""สุพรรณบุรี!I524"")"),514)</f>
        <v>514</v>
      </c>
      <c r="J629" s="342">
        <f ca="1">IFERROR(__xludf.DUMMYFUNCTION("IMPORTRANGE(""https://docs.google.com/spreadsheets/d/1SX6NBoVAgQJ6U1MVXOaj8PK2l7WJ3RER9xtqwdhxkhw/edit?usp=sharing"",""สุพรรณบุรี!J524"")"),276)</f>
        <v>276</v>
      </c>
      <c r="K629" s="343">
        <f t="shared" ca="1" si="129"/>
        <v>53.696498054474709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2">
        <f ca="1">IFERROR(__xludf.DUMMYFUNCTION("IMPORTRANGE(""https://docs.google.com/spreadsheets/d/1SX6NBoVAgQJ6U1MVXOaj8PK2l7WJ3RER9xtqwdhxkhw/edit?usp=sharing"",""สุพรรณบุรี!J525"")"),471270.36)</f>
        <v>471270.36</v>
      </c>
      <c r="K630" s="343">
        <f t="shared" ca="1" si="129"/>
        <v>12.17613302045309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IFERROR(__xludf.DUMMYFUNCTION("IMPORTRANGE(""https://docs.google.com/spreadsheets/d/1SX6NBoVAgQJ6U1MVXOaj8PK2l7WJ3RER9xtqwdhxkhw/edit?usp=sharing"",""สุพรรณบุรี!I526"")"),79)</f>
        <v>79</v>
      </c>
      <c r="J631" s="342">
        <f ca="1">IFERROR(__xludf.DUMMYFUNCTION("IMPORTRANGE(""https://docs.google.com/spreadsheets/d/1SX6NBoVAgQJ6U1MVXOaj8PK2l7WJ3RER9xtqwdhxkhw/edit?usp=sharing"",""สุพรรณบุรี!J526"")"),80)</f>
        <v>80</v>
      </c>
      <c r="K631" s="343">
        <f t="shared" ca="1" si="129"/>
        <v>101.26582278481013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2">
        <f ca="1">IFERROR(__xludf.DUMMYFUNCTION("IMPORTRANGE(""https://docs.google.com/spreadsheets/d/1SX6NBoVAgQJ6U1MVXOaj8PK2l7WJ3RER9xtqwdhxkhw/edit?usp=sharing"",""สุพรรณบุรี!J527"")"),621162.32)</f>
        <v>621162.31999999995</v>
      </c>
      <c r="K632" s="343">
        <f t="shared" ca="1" si="129"/>
        <v>26.647454854105167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IFERROR(__xludf.DUMMYFUNCTION("IMPORTRANGE(""https://docs.google.com/spreadsheets/d/1SX6NBoVAgQJ6U1MVXOaj8PK2l7WJ3RER9xtqwdhxkhw/edit?usp=sharing"",""สุพรรณบุรี!I528"")"),528)</f>
        <v>528</v>
      </c>
      <c r="J633" s="342">
        <f ca="1">IFERROR(__xludf.DUMMYFUNCTION("IMPORTRANGE(""https://docs.google.com/spreadsheets/d/1SX6NBoVAgQJ6U1MVXOaj8PK2l7WJ3RER9xtqwdhxkhw/edit?usp=sharing"",""สุพรรณบุรี!J528"")"),176)</f>
        <v>176</v>
      </c>
      <c r="K633" s="343">
        <f t="shared" ca="1" si="129"/>
        <v>33.333333333333336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42">
        <f ca="1">IFERROR(__xludf.DUMMYFUNCTION("IMPORTRANGE(""https://docs.google.com/spreadsheets/d/1SX6NBoVAgQJ6U1MVXOaj8PK2l7WJ3RER9xtqwdhxkhw/edit?usp=sharing"",""สุพรรณบุรี!J529"")"),11605000)</f>
        <v>11605000</v>
      </c>
      <c r="K634" s="343">
        <f t="shared" ca="1" si="129"/>
        <v>50.588491717523972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IFERROR(__xludf.DUMMYFUNCTION("IMPORTRANGE(""https://docs.google.com/spreadsheets/d/1SX6NBoVAgQJ6U1MVXOaj8PK2l7WJ3RER9xtqwdhxkhw/edit?usp=sharing"",""สุพรรณบุรี!I530"")"),568)</f>
        <v>568</v>
      </c>
      <c r="J635" s="504">
        <f ca="1">IFERROR(__xludf.DUMMYFUNCTION("IMPORTRANGE(""https://docs.google.com/spreadsheets/d/1SX6NBoVAgQJ6U1MVXOaj8PK2l7WJ3RER9xtqwdhxkhw/edit?usp=sharing"",""สุพรรณบุรี!J530"")"),265)</f>
        <v>265</v>
      </c>
      <c r="K635" s="486">
        <f t="shared" ca="1" si="129"/>
        <v>46.654929577464792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48130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48130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48130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IFERROR(__xludf.DUMMYFUNCTION("IMPORTRANGE(""https://docs.google.com/spreadsheets/d/1SX6NBoVAgQJ6U1MVXOaj8PK2l7WJ3RER9xtqwdhxkhw/edit#gid=346597447"",""สุพรรณบุรี!J541"")"),0)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IFERROR(__xludf.DUMMYFUNCTION("IMPORTRANGE(""https://docs.google.com/spreadsheets/d/1SX6NBoVAgQJ6U1MVXOaj8PK2l7WJ3RER9xtqwdhxkhw/edit#gid=346597447"",""สุพรรณบุรี!J542"")"),0)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IFERROR(__xludf.DUMMYFUNCTION("IMPORTRANGE(""https://docs.google.com/spreadsheets/d/1SX6NBoVAgQJ6U1MVXOaj8PK2l7WJ3RER9xtqwdhxkhw/edit#gid=346597447"",""สุพรรณบุรี!I543"")"),0)</f>
        <v>0</v>
      </c>
      <c r="J648" s="536">
        <f ca="1">IFERROR(__xludf.DUMMYFUNCTION("IMPORTRANGE(""https://docs.google.com/spreadsheets/d/1SX6NBoVAgQJ6U1MVXOaj8PK2l7WJ3RER9xtqwdhxkhw/edit#gid=346597447"",""สุพรรณบุรี!J543"")"),0)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IFERROR(__xludf.DUMMYFUNCTION("IMPORTRANGE(""https://docs.google.com/spreadsheets/d/1SX6NBoVAgQJ6U1MVXOaj8PK2l7WJ3RER9xtqwdhxkhw/edit#gid=346597447"",""สุพรรณบุรี!L543"")"),0)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IFERROR(__xludf.DUMMYFUNCTION("IMPORTRANGE(""https://docs.google.com/spreadsheets/d/1SX6NBoVAgQJ6U1MVXOaj8PK2l7WJ3RER9xtqwdhxkhw/edit#gid=346597447"",""สุพรรณบุรี!M543"")"),0)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IFERROR(__xludf.DUMMYFUNCTION("IMPORTRANGE(""https://docs.google.com/spreadsheets/d/1SX6NBoVAgQJ6U1MVXOaj8PK2l7WJ3RER9xtqwdhxkhw/edit#gid=346597447"",""สุพรรณบุรี!I544"")"),0)</f>
        <v>0</v>
      </c>
      <c r="J649" s="536">
        <f ca="1">IFERROR(__xludf.DUMMYFUNCTION("IMPORTRANGE(""https://docs.google.com/spreadsheets/d/1SX6NBoVAgQJ6U1MVXOaj8PK2l7WJ3RER9xtqwdhxkhw/edit#gid=346597447"",""สุพรรณบุรี!J544"")"),0)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IFERROR(__xludf.DUMMYFUNCTION("IMPORTRANGE(""https://docs.google.com/spreadsheets/d/1SX6NBoVAgQJ6U1MVXOaj8PK2l7WJ3RER9xtqwdhxkhw/edit#gid=346597447"",""สุพรรณบุรี!L544"")"),0)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IFERROR(__xludf.DUMMYFUNCTION("IMPORTRANGE(""https://docs.google.com/spreadsheets/d/1SX6NBoVAgQJ6U1MVXOaj8PK2l7WJ3RER9xtqwdhxkhw/edit#gid=346597447"",""สุพรรณบุรี!M544"")"),0)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IFERROR(__xludf.DUMMYFUNCTION("IMPORTRANGE(""https://docs.google.com/spreadsheets/d/1SX6NBoVAgQJ6U1MVXOaj8PK2l7WJ3RER9xtqwdhxkhw/edit#gid=346597447"",""สุพรรณบุรี!I545"")"),30)</f>
        <v>30</v>
      </c>
      <c r="J650" s="536">
        <f ca="1">IFERROR(__xludf.DUMMYFUNCTION("IMPORTRANGE(""https://docs.google.com/spreadsheets/d/1SX6NBoVAgQJ6U1MVXOaj8PK2l7WJ3RER9xtqwdhxkhw/edit#gid=346597447"",""สุพรรณบุรี!J545"")"),0)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IFERROR(__xludf.DUMMYFUNCTION("IMPORTRANGE(""https://docs.google.com/spreadsheets/d/1SX6NBoVAgQJ6U1MVXOaj8PK2l7WJ3RER9xtqwdhxkhw/edit#gid=346597447"",""สุพรรณบุรี!L545"")"),150)</f>
        <v>150</v>
      </c>
      <c r="M650" s="521"/>
      <c r="N650" s="538">
        <f ca="1">IFERROR(__xludf.DUMMYFUNCTION("IMPORTRANGE(""https://docs.google.com/spreadsheets/d/1SX6NBoVAgQJ6U1MVXOaj8PK2l7WJ3RER9xtqwdhxkhw/edit#gid=346597447"",""สุพรรณบุรี!M545"")"),0)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IFERROR(__xludf.DUMMYFUNCTION("IMPORTRANGE(""https://docs.google.com/spreadsheets/d/1SX6NBoVAgQJ6U1MVXOaj8PK2l7WJ3RER9xtqwdhxkhw/edit#gid=346597447"",""สุพรรณบุรี!I546"")"),300)</f>
        <v>300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IFERROR(__xludf.DUMMYFUNCTION("IMPORTRANGE(""https://docs.google.com/spreadsheets/d/1SX6NBoVAgQJ6U1MVXOaj8PK2l7WJ3RER9xtqwdhxkhw/edit#gid=346597447"",""สุพรรณบุรี!L546"")"),7500)</f>
        <v>7500</v>
      </c>
      <c r="M651" s="521"/>
      <c r="N651" s="538">
        <f ca="1">IFERROR(__xludf.DUMMYFUNCTION("IMPORTRANGE(""https://docs.google.com/spreadsheets/d/1SX6NBoVAgQJ6U1MVXOaj8PK2l7WJ3RER9xtqwdhxkhw/edit#gid=346597447"",""สุพรรณบุรี!M546"")"),0)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IFERROR(__xludf.DUMMYFUNCTION("IMPORTRANGE(""https://docs.google.com/spreadsheets/d/1SX6NBoVAgQJ6U1MVXOaj8PK2l7WJ3RER9xtqwdhxkhw/edit#gid=346597447"",""สุพรรณบุรี!J547"")"),0)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IFERROR(__xludf.DUMMYFUNCTION("IMPORTRANGE(""https://docs.google.com/spreadsheets/d/1SX6NBoVAgQJ6U1MVXOaj8PK2l7WJ3RER9xtqwdhxkhw/edit#gid=346597447"",""สุพรรณบุรี!J548"")"),0)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IFERROR(__xludf.DUMMYFUNCTION("IMPORTRANGE(""https://docs.google.com/spreadsheets/d/1SX6NBoVAgQJ6U1MVXOaj8PK2l7WJ3RER9xtqwdhxkhw/edit#gid=346597447"",""สุพรรณบุรี!J550"")"),0)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IFERROR(__xludf.DUMMYFUNCTION("IMPORTRANGE(""https://docs.google.com/spreadsheets/d/1SX6NBoVAgQJ6U1MVXOaj8PK2l7WJ3RER9xtqwdhxkhw/edit#gid=346597447"",""สุพรรณบุรี!J551"")"),0)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IFERROR(__xludf.DUMMYFUNCTION("IMPORTRANGE(""https://docs.google.com/spreadsheets/d/1SX6NBoVAgQJ6U1MVXOaj8PK2l7WJ3RER9xtqwdhxkhw/edit#gid=346597447"",""สุพรรณบุรี!J552"")"),0)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IFERROR(__xludf.DUMMYFUNCTION("IMPORTRANGE(""https://docs.google.com/spreadsheets/d/1SX6NBoVAgQJ6U1MVXOaj8PK2l7WJ3RER9xtqwdhxkhw/edit#gid=346597447"",""สุพรรณบุรี!J553"")"),0)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IFERROR(__xludf.DUMMYFUNCTION("IMPORTRANGE(""https://docs.google.com/spreadsheets/d/1SX6NBoVAgQJ6U1MVXOaj8PK2l7WJ3RER9xtqwdhxkhw/edit#gid=346597447"",""สุพรรณบุรี!J554"")"),0)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IFERROR(__xludf.DUMMYFUNCTION("IMPORTRANGE(""https://docs.google.com/spreadsheets/d/1SX6NBoVAgQJ6U1MVXOaj8PK2l7WJ3RER9xtqwdhxkhw/edit#gid=346597447"",""สุพรรณบุรี!J555"")"),0)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IFERROR(__xludf.DUMMYFUNCTION("IMPORTRANGE(""https://docs.google.com/spreadsheets/d/1SX6NBoVAgQJ6U1MVXOaj8PK2l7WJ3RER9xtqwdhxkhw/edit#gid=346597447"",""สุพรรณบุรี!J556"")"),0)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IFERROR(__xludf.DUMMYFUNCTION("IMPORTRANGE(""https://docs.google.com/spreadsheets/d/1SX6NBoVAgQJ6U1MVXOaj8PK2l7WJ3RER9xtqwdhxkhw/edit#gid=346597447"",""สุพรรณบุรี!L556"")"),12000)</f>
        <v>12000</v>
      </c>
      <c r="M661" s="521"/>
      <c r="N661" s="538">
        <f ca="1">IFERROR(__xludf.DUMMYFUNCTION("IMPORTRANGE(""https://docs.google.com/spreadsheets/d/1SX6NBoVAgQJ6U1MVXOaj8PK2l7WJ3RER9xtqwdhxkhw/edit#gid=346597447"",""สุพรรณบุรี!M556"")"),0)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IFERROR(__xludf.DUMMYFUNCTION("IMPORTRANGE(""https://docs.google.com/spreadsheets/d/1SX6NBoVAgQJ6U1MVXOaj8PK2l7WJ3RER9xtqwdhxkhw/edit#gid=346597447"",""สุพรรณบุรี!J557"")"),0)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IFERROR(__xludf.DUMMYFUNCTION("IMPORTRANGE(""https://docs.google.com/spreadsheets/d/1SX6NBoVAgQJ6U1MVXOaj8PK2l7WJ3RER9xtqwdhxkhw/edit#gid=346597447"",""สุพรรณบุรี!I558"")"),300)</f>
        <v>300</v>
      </c>
      <c r="J663" s="536">
        <f ca="1">IFERROR(__xludf.DUMMYFUNCTION("IMPORTRANGE(""https://docs.google.com/spreadsheets/d/1SX6NBoVAgQJ6U1MVXOaj8PK2l7WJ3RER9xtqwdhxkhw/edit#gid=346597447"",""สุพรรณบุรี!J558"")"),0)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IFERROR(__xludf.DUMMYFUNCTION("IMPORTRANGE(""https://docs.google.com/spreadsheets/d/1SX6NBoVAgQJ6U1MVXOaj8PK2l7WJ3RER9xtqwdhxkhw/edit#gid=346597447"",""สุพรรณบุรี!I560"")"),16)</f>
        <v>16</v>
      </c>
      <c r="J665" s="536">
        <f ca="1">IFERROR(__xludf.DUMMYFUNCTION("IMPORTRANGE(""https://docs.google.com/spreadsheets/d/1SX6NBoVAgQJ6U1MVXOaj8PK2l7WJ3RER9xtqwdhxkhw/edit#gid=346597447"",""สุพรรณบุรี!J560"")"),1)</f>
        <v>1</v>
      </c>
      <c r="K665" s="537">
        <f ca="1">IF(I665&gt;0,J665*100/I665,0)</f>
        <v>6.25</v>
      </c>
      <c r="L665" s="522">
        <f ca="1">IFERROR(__xludf.DUMMYFUNCTION("IMPORTRANGE(""https://docs.google.com/spreadsheets/d/1SX6NBoVAgQJ6U1MVXOaj8PK2l7WJ3RER9xtqwdhxkhw/edit#gid=346597447"",""สุพรรณบุรี!L560"")"),1920)</f>
        <v>1920</v>
      </c>
      <c r="M665" s="521"/>
      <c r="N665" s="538">
        <f ca="1">IFERROR(__xludf.DUMMYFUNCTION("IMPORTRANGE(""https://docs.google.com/spreadsheets/d/1SX6NBoVAgQJ6U1MVXOaj8PK2l7WJ3RER9xtqwdhxkhw/edit#gid=346597447"",""สุพรรณบุรี!M560"")"),0)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IFERROR(__xludf.DUMMYFUNCTION("IMPORTRANGE(""https://docs.google.com/spreadsheets/d/1SX6NBoVAgQJ6U1MVXOaj8PK2l7WJ3RER9xtqwdhxkhw/edit#gid=346597447"",""สุพรรณบุรี!J561"")"),1)</f>
        <v>1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IFERROR(__xludf.DUMMYFUNCTION("IMPORTRANGE(""https://docs.google.com/spreadsheets/d/1SX6NBoVAgQJ6U1MVXOaj8PK2l7WJ3RER9xtqwdhxkhw/edit#gid=346597447"",""สุพรรณบุรี!J562"")"),4.69)</f>
        <v>4.6900000000000004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IFERROR(__xludf.DUMMYFUNCTION("IMPORTRANGE(""https://docs.google.com/spreadsheets/d/1SX6NBoVAgQJ6U1MVXOaj8PK2l7WJ3RER9xtqwdhxkhw/edit#gid=346597447"",""สุพรรณบุรี!I563"")"),28)</f>
        <v>28</v>
      </c>
      <c r="J668" s="536">
        <f ca="1">IFERROR(__xludf.DUMMYFUNCTION("IMPORTRANGE(""https://docs.google.com/spreadsheets/d/1SX6NBoVAgQJ6U1MVXOaj8PK2l7WJ3RER9xtqwdhxkhw/edit#gid=346597447"",""สุพรรณบุรี!J563"")"),2)</f>
        <v>2</v>
      </c>
      <c r="K668" s="537">
        <f ca="1">IF(I668&gt;0,J668*100/I668,0)</f>
        <v>7.1428571428571432</v>
      </c>
      <c r="L668" s="522">
        <f ca="1">IFERROR(__xludf.DUMMYFUNCTION("IMPORTRANGE(""https://docs.google.com/spreadsheets/d/1SX6NBoVAgQJ6U1MVXOaj8PK2l7WJ3RER9xtqwdhxkhw/edit#gid=346597447"",""สุพรรณบุรี!L563"")"),22560)</f>
        <v>22560</v>
      </c>
      <c r="M668" s="521"/>
      <c r="N668" s="538">
        <f ca="1">IFERROR(__xludf.DUMMYFUNCTION("IMPORTRANGE(""https://docs.google.com/spreadsheets/d/1SX6NBoVAgQJ6U1MVXOaj8PK2l7WJ3RER9xtqwdhxkhw/edit#gid=346597447"",""สุพรรณบุรี!M563"")"),0)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IFERROR(__xludf.DUMMYFUNCTION("IMPORTRANGE(""https://docs.google.com/spreadsheets/d/1SX6NBoVAgQJ6U1MVXOaj8PK2l7WJ3RER9xtqwdhxkhw/edit#gid=346597447"",""สุพรรณบุรี!J564"")"),2)</f>
        <v>2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IFERROR(__xludf.DUMMYFUNCTION("IMPORTRANGE(""https://docs.google.com/spreadsheets/d/1SX6NBoVAgQJ6U1MVXOaj8PK2l7WJ3RER9xtqwdhxkhw/edit#gid=346597447"",""สุพรรณบุรี!J565"")"),11.96)</f>
        <v>11.96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IFERROR(__xludf.DUMMYFUNCTION("IMPORTRANGE(""https://docs.google.com/spreadsheets/d/1SX6NBoVAgQJ6U1MVXOaj8PK2l7WJ3RER9xtqwdhxkhw/edit#gid=346597447"",""สุพรรณบุรี!I566"")"),50)</f>
        <v>50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IFERROR(__xludf.DUMMYFUNCTION("IMPORTRANGE(""https://docs.google.com/spreadsheets/d/1SX6NBoVAgQJ6U1MVXOaj8PK2l7WJ3RER9xtqwdhxkhw/edit#gid=346597447"",""สุพรรณบุรี!L566"")"),4000)</f>
        <v>4000</v>
      </c>
      <c r="M671" s="521"/>
      <c r="N671" s="538">
        <f ca="1">IFERROR(__xludf.DUMMYFUNCTION("IMPORTRANGE(""https://docs.google.com/spreadsheets/d/1SX6NBoVAgQJ6U1MVXOaj8PK2l7WJ3RER9xtqwdhxkhw/edit#gid=346597447"",""สุพรรณบุรี!M566"")"),0)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IFERROR(__xludf.DUMMYFUNCTION("IMPORTRANGE(""https://docs.google.com/spreadsheets/d/1SX6NBoVAgQJ6U1MVXOaj8PK2l7WJ3RER9xtqwdhxkhw/edit#gid=346597447"",""สุพรรณบุรี!J567"")"),0)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IFERROR(__xludf.DUMMYFUNCTION("IMPORTRANGE(""https://docs.google.com/spreadsheets/d/1SX6NBoVAgQJ6U1MVXOaj8PK2l7WJ3RER9xtqwdhxkhw/edit#gid=346597447"",""สุพรรณบุรี!J568"")"),0)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IFERROR(__xludf.DUMMYFUNCTION("IMPORTRANGE(""https://docs.google.com/spreadsheets/d/1SX6NBoVAgQJ6U1MVXOaj8PK2l7WJ3RER9xtqwdhxkhw/edit#gid=346597447"",""สุพรรณบุรี!J569"")"),0)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IFERROR(__xludf.DUMMYFUNCTION("IMPORTRANGE(""https://docs.google.com/spreadsheets/d/1SX6NBoVAgQJ6U1MVXOaj8PK2l7WJ3RER9xtqwdhxkhw/edit#gid=346597447"",""สุพรรณบุรี!J570"")"),0)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IFERROR(__xludf.DUMMYFUNCTION("IMPORTRANGE(""https://docs.google.com/spreadsheets/d/1SX6NBoVAgQJ6U1MVXOaj8PK2l7WJ3RER9xtqwdhxkhw/edit#gid=346597447"",""สุพรรณบุรี!J571"")"),0)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IFERROR(__xludf.DUMMYFUNCTION("IMPORTRANGE(""https://docs.google.com/spreadsheets/d/1SX6NBoVAgQJ6U1MVXOaj8PK2l7WJ3RER9xtqwdhxkhw/edit#gid=346597447"",""สุพรรณบุรี!J572"")"),0)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300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1995350</v>
      </c>
      <c r="M8" s="23">
        <f t="shared" ca="1" si="0"/>
        <v>1294507.32</v>
      </c>
      <c r="N8" s="23">
        <f t="shared" ca="1" si="0"/>
        <v>1313191.25</v>
      </c>
      <c r="O8" s="22">
        <f t="shared" ref="O8:O16" ca="1" si="1">IF(L8&gt;0,N8*100/L8,0)</f>
        <v>65.812576740922651</v>
      </c>
      <c r="P8" s="22">
        <f t="shared" ref="P8:P16" ca="1" si="2">IF(M8&gt;0,N8*100/M8,0)</f>
        <v>101.44332362678335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1995350</v>
      </c>
      <c r="M10" s="30">
        <f t="shared" ca="1" si="4"/>
        <v>1294507.32</v>
      </c>
      <c r="N10" s="30">
        <f t="shared" ca="1" si="4"/>
        <v>1313191.25</v>
      </c>
      <c r="O10" s="29">
        <f t="shared" ca="1" si="1"/>
        <v>65.812576740922651</v>
      </c>
      <c r="P10" s="29">
        <f t="shared" ca="1" si="2"/>
        <v>101.44332362678335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1856350</v>
      </c>
      <c r="M12" s="38">
        <f t="shared" ca="1" si="6"/>
        <v>1155507.32</v>
      </c>
      <c r="N12" s="38">
        <f t="shared" ca="1" si="6"/>
        <v>1174191.25</v>
      </c>
      <c r="O12" s="38">
        <f t="shared" ca="1" si="1"/>
        <v>63.252686723947534</v>
      </c>
      <c r="P12" s="38">
        <f t="shared" ca="1" si="2"/>
        <v>101.61694605275196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1449900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406450</v>
      </c>
      <c r="M14" s="38">
        <f t="shared" si="8"/>
        <v>0</v>
      </c>
      <c r="N14" s="38">
        <f t="shared" ca="1" si="8"/>
        <v>104753</v>
      </c>
      <c r="O14" s="38">
        <f t="shared" ca="1" si="1"/>
        <v>25.772665764546684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1665410</v>
      </c>
      <c r="M18" s="23">
        <f t="shared" ca="1" si="11"/>
        <v>1294507.32</v>
      </c>
      <c r="N18" s="23">
        <f t="shared" ca="1" si="11"/>
        <v>1208438.25</v>
      </c>
      <c r="O18" s="22">
        <f t="shared" ref="O18:O20" ca="1" si="12">IF(L18&gt;0,N18*100/L18,0)</f>
        <v>72.561005998522887</v>
      </c>
      <c r="P18" s="22">
        <f t="shared" ref="P18:P26" ca="1" si="13">IF(M18&gt;0,N18*100/M18,0)</f>
        <v>93.35121025039858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1665410</v>
      </c>
      <c r="M20" s="30">
        <f t="shared" ca="1" si="15"/>
        <v>1294507.32</v>
      </c>
      <c r="N20" s="30">
        <f t="shared" ca="1" si="15"/>
        <v>1208438.25</v>
      </c>
      <c r="O20" s="29">
        <f t="shared" ca="1" si="12"/>
        <v>72.561005998522887</v>
      </c>
      <c r="P20" s="29">
        <f t="shared" ca="1" si="13"/>
        <v>93.35121025039858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1526410</v>
      </c>
      <c r="M22" s="41">
        <f t="shared" ca="1" si="18"/>
        <v>1155507.32</v>
      </c>
      <c r="N22" s="38">
        <f t="shared" ca="1" si="18"/>
        <v>1069438.25</v>
      </c>
      <c r="O22" s="38">
        <f t="shared" ca="1" si="17"/>
        <v>70.062319429249015</v>
      </c>
      <c r="P22" s="38">
        <f t="shared" ca="1" si="13"/>
        <v>92.551404174575026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1449900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76510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329940</v>
      </c>
      <c r="M28" s="23">
        <f t="shared" si="23"/>
        <v>0</v>
      </c>
      <c r="N28" s="23">
        <f t="shared" ca="1" si="23"/>
        <v>104753</v>
      </c>
      <c r="O28" s="22">
        <f t="shared" ref="O28:O30" ca="1" si="24">IF(L28&gt;0,N28*100/L28,0)</f>
        <v>31.749105898042068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329940</v>
      </c>
      <c r="M30" s="30">
        <f t="shared" si="27"/>
        <v>0</v>
      </c>
      <c r="N30" s="30">
        <f t="shared" ca="1" si="27"/>
        <v>104753</v>
      </c>
      <c r="O30" s="29">
        <f t="shared" ca="1" si="24"/>
        <v>31.749105898042068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329940</v>
      </c>
      <c r="M32" s="38">
        <f t="shared" si="30"/>
        <v>0</v>
      </c>
      <c r="N32" s="38">
        <f t="shared" ca="1" si="30"/>
        <v>104753</v>
      </c>
      <c r="O32" s="38">
        <f t="shared" ca="1" si="29"/>
        <v>31.749105898042068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329940</v>
      </c>
      <c r="M34" s="38">
        <f t="shared" si="32"/>
        <v>0</v>
      </c>
      <c r="N34" s="38">
        <f t="shared" ca="1" si="32"/>
        <v>104753</v>
      </c>
      <c r="O34" s="38">
        <f t="shared" ca="1" si="29"/>
        <v>31.749105898042068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1665410</v>
      </c>
      <c r="M37" s="54">
        <f t="shared" ca="1" si="33"/>
        <v>1294507.32</v>
      </c>
      <c r="N37" s="54">
        <f t="shared" ca="1" si="33"/>
        <v>1208438.25</v>
      </c>
      <c r="O37" s="55">
        <f t="shared" ca="1" si="29"/>
        <v>72.561005998522887</v>
      </c>
      <c r="P37" s="55">
        <f t="shared" ca="1" si="25"/>
        <v>93.35121025039858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627100</v>
      </c>
      <c r="N41" s="78">
        <f t="shared" ca="1" si="34"/>
        <v>616423.25</v>
      </c>
      <c r="O41" s="77">
        <f t="shared" ref="O41:O43" ca="1" si="35">IF(L41&gt;0,N41*100/L41,0)</f>
        <v>73.726019614878609</v>
      </c>
      <c r="P41" s="77">
        <f t="shared" ref="P41:P43" ca="1" si="36">IF(M41&gt;0,N41*100/M41,0)</f>
        <v>98.2974405995854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627100</v>
      </c>
      <c r="N43" s="78">
        <f t="shared" ca="1" si="38"/>
        <v>616423.25</v>
      </c>
      <c r="O43" s="77">
        <f t="shared" ca="1" si="35"/>
        <v>73.726019614878609</v>
      </c>
      <c r="P43" s="77">
        <f t="shared" ca="1" si="36"/>
        <v>98.2974405995854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IFERROR(__xludf.DUMMYFUNCTION("IMPORTRANGE(""https://docs.google.com/spreadsheets/d/1Yj_ptqi66GCucihVvJfMjLAmec39IyEx_6qawtMGysU/edit?usp=sharing"",""สบก!Q79"")"),627100)</f>
        <v>627100</v>
      </c>
      <c r="N45" s="49">
        <f ca="1">IFERROR(__xludf.DUMMYFUNCTION("IMPORTRANGE(""https://docs.google.com/spreadsheets/d/1Yj_ptqi66GCucihVvJfMjLAmec39IyEx_6qawtMGysU/edit?usp=sharing"",""สบก!R79"")"),616423.25)</f>
        <v>616423.25</v>
      </c>
      <c r="O45" s="38">
        <f ca="1">IF(L45&gt;0,N45*100/L45,0)</f>
        <v>73.726019614878609</v>
      </c>
      <c r="P45" s="38">
        <f ca="1">IF(M45&gt;0,N45*100/M45,0)</f>
        <v>98.2974405995854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120000</v>
      </c>
      <c r="M53" s="121">
        <f t="shared" ca="1" si="39"/>
        <v>104422.32</v>
      </c>
      <c r="N53" s="121">
        <f t="shared" ca="1" si="39"/>
        <v>99764</v>
      </c>
      <c r="O53" s="120">
        <f t="shared" ref="O53:O55" ca="1" si="40">IF(L53&gt;0,N53*100/L53,0)</f>
        <v>83.13666666666667</v>
      </c>
      <c r="P53" s="120">
        <f t="shared" ref="P53:P55" ca="1" si="41">IF(M53&gt;0,N53*100/M53,0)</f>
        <v>95.538961402121686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120000</v>
      </c>
      <c r="M55" s="121">
        <f t="shared" ca="1" si="43"/>
        <v>104422.32</v>
      </c>
      <c r="N55" s="121">
        <f t="shared" ca="1" si="43"/>
        <v>99764</v>
      </c>
      <c r="O55" s="120">
        <f t="shared" ca="1" si="40"/>
        <v>83.13666666666667</v>
      </c>
      <c r="P55" s="120">
        <f t="shared" ca="1" si="41"/>
        <v>95.538961402121686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120000</v>
      </c>
      <c r="M57" s="49">
        <f ca="1">IFERROR(__xludf.DUMMYFUNCTION("IMPORTRANGE(""https://docs.google.com/spreadsheets/d/1Yj_ptqi66GCucihVvJfMjLAmec39IyEx_6qawtMGysU/edit?usp=sharing"",""สบก!Z79"")"),104422.32)</f>
        <v>104422.32</v>
      </c>
      <c r="N57" s="49">
        <f ca="1">IFERROR(__xludf.DUMMYFUNCTION("IMPORTRANGE(""https://docs.google.com/spreadsheets/d/1Yj_ptqi66GCucihVvJfMjLAmec39IyEx_6qawtMGysU/edit?usp=sharing"",""สบก!AA79"")"),99764)</f>
        <v>99764</v>
      </c>
      <c r="O57" s="38">
        <f ca="1">IF(L57&gt;0,N57*100/L57,0)</f>
        <v>83.13666666666667</v>
      </c>
      <c r="P57" s="38">
        <f ca="1">IF(M57&gt;0,N57*100/M57,0)</f>
        <v>95.538961402121686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IFERROR(__xludf.DUMMYFUNCTION("IMPORTRANGE(""https://docs.google.com/spreadsheets/d/1Yj_ptqi66GCucihVvJfMjLAmec39IyEx_6qawtMGysU/edit?usp=sharing"",""สบก!V79"")"),120000)</f>
        <v>120000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IFERROR(__xludf.DUMMYFUNCTION("IMPORTRANGE(""https://docs.google.com/spreadsheets/d/1Yj_ptqi66GCucihVvJfMjLAmec39IyEx_6qawtMGysU/edit?usp=sharing"",""สบก!AI79"")"),0)</f>
        <v>0</v>
      </c>
      <c r="N70" s="169">
        <f ca="1">IFERROR(__xludf.DUMMYFUNCTION("IMPORTRANGE(""https://docs.google.com/spreadsheets/d/1Yj_ptqi66GCucihVvJfMjLAmec39IyEx_6qawtMGysU/edit?usp=sharing"",""สบก!AJ79"")"),0)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IFERROR(__xludf.DUMMYFUNCTION("IMPORTRANGE(""https://docs.google.com/spreadsheets/d/1SX6NBoVAgQJ6U1MVXOaj8PK2l7WJ3RER9xtqwdhxkhw/edit?usp=sharing"",""อ่างทอง!J16"")"),0)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IFERROR(__xludf.DUMMYFUNCTION("IMPORTRANGE(""https://docs.google.com/spreadsheets/d/1SX6NBoVAgQJ6U1MVXOaj8PK2l7WJ3RER9xtqwdhxkhw/edit?usp=sharing"",""อ่างทอง!J17"")"),0)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IFERROR(__xludf.DUMMYFUNCTION("IMPORTRANGE(""https://docs.google.com/spreadsheets/d/1SX6NBoVAgQJ6U1MVXOaj8PK2l7WJ3RER9xtqwdhxkhw/edit?usp=sharing"",""อ่างทอง!J18"")"),0)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IFERROR(__xludf.DUMMYFUNCTION("IMPORTRANGE(""https://docs.google.com/spreadsheets/d/1SX6NBoVAgQJ6U1MVXOaj8PK2l7WJ3RER9xtqwdhxkhw/edit?usp=sharing"",""อ่างทอง!J19"")"),0)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IFERROR(__xludf.DUMMYFUNCTION("IMPORTRANGE(""https://docs.google.com/spreadsheets/d/1SX6NBoVAgQJ6U1MVXOaj8PK2l7WJ3RER9xtqwdhxkhw/edit?usp=sharing"",""อ่างทอง!I20"")"),0)</f>
        <v>0</v>
      </c>
      <c r="J80" s="201">
        <f ca="1">IFERROR(__xludf.DUMMYFUNCTION("IMPORTRANGE(""https://docs.google.com/spreadsheets/d/1SX6NBoVAgQJ6U1MVXOaj8PK2l7WJ3RER9xtqwdhxkhw/edit?usp=sharing"",""อ่างทอง!J20"")"),0)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IFERROR(__xludf.DUMMYFUNCTION("IMPORTRANGE(""https://docs.google.com/spreadsheets/d/1SX6NBoVAgQJ6U1MVXOaj8PK2l7WJ3RER9xtqwdhxkhw/edit?usp=sharing"",""อ่างทอง!I21"")"),0)</f>
        <v>0</v>
      </c>
      <c r="J81" s="201">
        <f ca="1">IFERROR(__xludf.DUMMYFUNCTION("IMPORTRANGE(""https://docs.google.com/spreadsheets/d/1SX6NBoVAgQJ6U1MVXOaj8PK2l7WJ3RER9xtqwdhxkhw/edit?usp=sharing"",""อ่างทอง!J21"")"),0)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IFERROR(__xludf.DUMMYFUNCTION("IMPORTRANGE(""https://docs.google.com/spreadsheets/d/1SX6NBoVAgQJ6U1MVXOaj8PK2l7WJ3RER9xtqwdhxkhw/edit?usp=sharing"",""อ่างทอง!I22"")"),0)</f>
        <v>0</v>
      </c>
      <c r="J82" s="204">
        <f ca="1">IFERROR(__xludf.DUMMYFUNCTION("IMPORTRANGE(""https://docs.google.com/spreadsheets/d/1SX6NBoVAgQJ6U1MVXOaj8PK2l7WJ3RER9xtqwdhxkhw/edit?usp=sharing"",""อ่างทอง!J22"")"),0)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IFERROR(__xludf.DUMMYFUNCTION("IMPORTRANGE(""https://docs.google.com/spreadsheets/d/1SX6NBoVAgQJ6U1MVXOaj8PK2l7WJ3RER9xtqwdhxkhw/edit?usp=sharing"",""อ่างทอง!I23"")"),0)</f>
        <v>0</v>
      </c>
      <c r="J83" s="204">
        <f ca="1">IFERROR(__xludf.DUMMYFUNCTION("IMPORTRANGE(""https://docs.google.com/spreadsheets/d/1SX6NBoVAgQJ6U1MVXOaj8PK2l7WJ3RER9xtqwdhxkhw/edit?usp=sharing"",""อ่างทอง!J23"")"),0)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IFERROR(__xludf.DUMMYFUNCTION("IMPORTRANGE(""https://docs.google.com/spreadsheets/d/1SX6NBoVAgQJ6U1MVXOaj8PK2l7WJ3RER9xtqwdhxkhw/edit?usp=sharing"",""อ่างทอง!I24"")"),0)</f>
        <v>0</v>
      </c>
      <c r="J84" s="189">
        <f ca="1">IFERROR(__xludf.DUMMYFUNCTION("IMPORTRANGE(""https://docs.google.com/spreadsheets/d/1SX6NBoVAgQJ6U1MVXOaj8PK2l7WJ3RER9xtqwdhxkhw/edit?usp=sharing"",""อ่างทอง!J24"")"),0)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IFERROR(__xludf.DUMMYFUNCTION("IMPORTRANGE(""https://docs.google.com/spreadsheets/d/1SX6NBoVAgQJ6U1MVXOaj8PK2l7WJ3RER9xtqwdhxkhw/edit?usp=sharing"",""อ่างทอง!I25"")"),0)</f>
        <v>0</v>
      </c>
      <c r="J85" s="189">
        <f ca="1">IFERROR(__xludf.DUMMYFUNCTION("IMPORTRANGE(""https://docs.google.com/spreadsheets/d/1SX6NBoVAgQJ6U1MVXOaj8PK2l7WJ3RER9xtqwdhxkhw/edit?usp=sharing"",""อ่างทอง!J25"")"),0)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IFERROR(__xludf.DUMMYFUNCTION("IMPORTRANGE(""https://docs.google.com/spreadsheets/d/1SX6NBoVAgQJ6U1MVXOaj8PK2l7WJ3RER9xtqwdhxkhw/edit?usp=sharing"",""อ่างทอง!I26"")"),0)</f>
        <v>0</v>
      </c>
      <c r="J86" s="204">
        <f ca="1">IFERROR(__xludf.DUMMYFUNCTION("IMPORTRANGE(""https://docs.google.com/spreadsheets/d/1SX6NBoVAgQJ6U1MVXOaj8PK2l7WJ3RER9xtqwdhxkhw/edit?usp=sharing"",""อ่างทอง!J26"")"),0)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IFERROR(__xludf.DUMMYFUNCTION("IMPORTRANGE(""https://docs.google.com/spreadsheets/d/1SX6NBoVAgQJ6U1MVXOaj8PK2l7WJ3RER9xtqwdhxkhw/edit?usp=sharing"",""อ่างทอง!I27"")"),0)</f>
        <v>0</v>
      </c>
      <c r="J87" s="204">
        <f ca="1">IFERROR(__xludf.DUMMYFUNCTION("IMPORTRANGE(""https://docs.google.com/spreadsheets/d/1SX6NBoVAgQJ6U1MVXOaj8PK2l7WJ3RER9xtqwdhxkhw/edit?usp=sharing"",""อ่างทอง!J27"")"),0)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IFERROR(__xludf.DUMMYFUNCTION("IMPORTRANGE(""https://docs.google.com/spreadsheets/d/1SX6NBoVAgQJ6U1MVXOaj8PK2l7WJ3RER9xtqwdhxkhw/edit?usp=sharing"",""อ่างทอง!I28"")"),0)</f>
        <v>0</v>
      </c>
      <c r="J88" s="204">
        <f ca="1">IFERROR(__xludf.DUMMYFUNCTION("IMPORTRANGE(""https://docs.google.com/spreadsheets/d/1SX6NBoVAgQJ6U1MVXOaj8PK2l7WJ3RER9xtqwdhxkhw/edit?usp=sharing"",""อ่างทอง!J28"")"),0)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IFERROR(__xludf.DUMMYFUNCTION("IMPORTRANGE(""https://docs.google.com/spreadsheets/d/1SX6NBoVAgQJ6U1MVXOaj8PK2l7WJ3RER9xtqwdhxkhw/edit?usp=sharing"",""อ่างทอง!J29"")"),0)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IFERROR(__xludf.DUMMYFUNCTION("IMPORTRANGE(""https://docs.google.com/spreadsheets/d/1SX6NBoVAgQJ6U1MVXOaj8PK2l7WJ3RER9xtqwdhxkhw/edit?usp=sharing"",""อ่างทอง!J30"")"),0)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IFERROR(__xludf.DUMMYFUNCTION("IMPORTRANGE(""https://docs.google.com/spreadsheets/d/1Yj_ptqi66GCucihVvJfMjLAmec39IyEx_6qawtMGysU/edit?usp=sharing"",""สบก!AR79"")"),0)</f>
        <v>0</v>
      </c>
      <c r="N98" s="169">
        <f ca="1">IFERROR(__xludf.DUMMYFUNCTION("IMPORTRANGE(""https://docs.google.com/spreadsheets/d/1Yj_ptqi66GCucihVvJfMjLAmec39IyEx_6qawtMGysU/edit?usp=sharing"",""สบก!AS79"")"),0)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IFERROR(__xludf.DUMMYFUNCTION("IMPORTRANGE(""https://docs.google.com/spreadsheets/d/1Yj_ptqi66GCucihVvJfMjLAmec39IyEx_6qawtMGysU/edit?usp=sharing"",""สบก!AO79"")"),0)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IFERROR(__xludf.DUMMYFUNCTION("IMPORTRANGE(""https://docs.google.com/spreadsheets/d/1SX6NBoVAgQJ6U1MVXOaj8PK2l7WJ3RER9xtqwdhxkhw/edit?usp=sharing"",""อ่างทอง!J39"")"),0)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IFERROR(__xludf.DUMMYFUNCTION("IMPORTRANGE(""https://docs.google.com/spreadsheets/d/1SX6NBoVAgQJ6U1MVXOaj8PK2l7WJ3RER9xtqwdhxkhw/edit?usp=sharing"",""อ่างทอง!J40"")"),0)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IFERROR(__xludf.DUMMYFUNCTION("IMPORTRANGE(""https://docs.google.com/spreadsheets/d/1SX6NBoVAgQJ6U1MVXOaj8PK2l7WJ3RER9xtqwdhxkhw/edit?usp=sharing"",""อ่างทอง!J41"")"),0)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IFERROR(__xludf.DUMMYFUNCTION("IMPORTRANGE(""https://docs.google.com/spreadsheets/d/1SX6NBoVAgQJ6U1MVXOaj8PK2l7WJ3RER9xtqwdhxkhw/edit?usp=sharing"",""อ่างทอง!J42"")"),0)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IFERROR(__xludf.DUMMYFUNCTION("IMPORTRANGE(""https://docs.google.com/spreadsheets/d/1SX6NBoVAgQJ6U1MVXOaj8PK2l7WJ3RER9xtqwdhxkhw/edit?usp=sharing"",""อ่างทอง!I43"")"),0)</f>
        <v>0</v>
      </c>
      <c r="J108" s="204">
        <f ca="1">IFERROR(__xludf.DUMMYFUNCTION("IMPORTRANGE(""https://docs.google.com/spreadsheets/d/1SX6NBoVAgQJ6U1MVXOaj8PK2l7WJ3RER9xtqwdhxkhw/edit?usp=sharing"",""อ่างทอง!J43"")"),0)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IFERROR(__xludf.DUMMYFUNCTION("IMPORTRANGE(""https://docs.google.com/spreadsheets/d/1SX6NBoVAgQJ6U1MVXOaj8PK2l7WJ3RER9xtqwdhxkhw/edit?usp=sharing"",""อ่างทอง!I44"")"),0)</f>
        <v>0</v>
      </c>
      <c r="J109" s="204">
        <f ca="1">IFERROR(__xludf.DUMMYFUNCTION("IMPORTRANGE(""https://docs.google.com/spreadsheets/d/1SX6NBoVAgQJ6U1MVXOaj8PK2l7WJ3RER9xtqwdhxkhw/edit?usp=sharing"",""อ่างทอง!J44"")"),0)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IFERROR(__xludf.DUMMYFUNCTION("IMPORTRANGE(""https://docs.google.com/spreadsheets/d/1SX6NBoVAgQJ6U1MVXOaj8PK2l7WJ3RER9xtqwdhxkhw/edit?usp=sharing"",""อ่างทอง!I45"")"),0)</f>
        <v>0</v>
      </c>
      <c r="J110" s="204">
        <f ca="1">IFERROR(__xludf.DUMMYFUNCTION("IMPORTRANGE(""https://docs.google.com/spreadsheets/d/1SX6NBoVAgQJ6U1MVXOaj8PK2l7WJ3RER9xtqwdhxkhw/edit?usp=sharing"",""อ่างทอง!J45"")"),0)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IFERROR(__xludf.DUMMYFUNCTION("IMPORTRANGE(""https://docs.google.com/spreadsheets/d/1SX6NBoVAgQJ6U1MVXOaj8PK2l7WJ3RER9xtqwdhxkhw/edit?usp=sharing"",""อ่างทอง!I46"")"),0)</f>
        <v>0</v>
      </c>
      <c r="J111" s="204">
        <f ca="1">IFERROR(__xludf.DUMMYFUNCTION("IMPORTRANGE(""https://docs.google.com/spreadsheets/d/1SX6NBoVAgQJ6U1MVXOaj8PK2l7WJ3RER9xtqwdhxkhw/edit?usp=sharing"",""อ่างทอง!J46"")"),0)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IFERROR(__xludf.DUMMYFUNCTION("IMPORTRANGE(""https://docs.google.com/spreadsheets/d/1SX6NBoVAgQJ6U1MVXOaj8PK2l7WJ3RER9xtqwdhxkhw/edit?usp=sharing"",""อ่างทอง!I47"")"),0)</f>
        <v>0</v>
      </c>
      <c r="J112" s="204">
        <f ca="1">IFERROR(__xludf.DUMMYFUNCTION("IMPORTRANGE(""https://docs.google.com/spreadsheets/d/1SX6NBoVAgQJ6U1MVXOaj8PK2l7WJ3RER9xtqwdhxkhw/edit?usp=sharing"",""อ่างทอง!J47"")"),0)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IFERROR(__xludf.DUMMYFUNCTION("IMPORTRANGE(""https://docs.google.com/spreadsheets/d/1SX6NBoVAgQJ6U1MVXOaj8PK2l7WJ3RER9xtqwdhxkhw/edit?usp=sharing"",""อ่างทอง!I48"")"),0)</f>
        <v>0</v>
      </c>
      <c r="J113" s="204">
        <f ca="1">IFERROR(__xludf.DUMMYFUNCTION("IMPORTRANGE(""https://docs.google.com/spreadsheets/d/1SX6NBoVAgQJ6U1MVXOaj8PK2l7WJ3RER9xtqwdhxkhw/edit?usp=sharing"",""อ่างทอง!J48"")"),0)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IFERROR(__xludf.DUMMYFUNCTION("IMPORTRANGE(""https://docs.google.com/spreadsheets/d/1SX6NBoVAgQJ6U1MVXOaj8PK2l7WJ3RER9xtqwdhxkhw/edit?usp=sharing"",""อ่างทอง!J49"")"),0)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IFERROR(__xludf.DUMMYFUNCTION("IMPORTRANGE(""https://docs.google.com/spreadsheets/d/1SX6NBoVAgQJ6U1MVXOaj8PK2l7WJ3RER9xtqwdhxkhw/edit?usp=sharing"",""อ่างทอง!J50"")"),0)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IFERROR(__xludf.DUMMYFUNCTION("IMPORTRANGE(""https://docs.google.com/spreadsheets/d/1Yj_ptqi66GCucihVvJfMjLAmec39IyEx_6qawtMGysU/edit?usp=sharing"",""สบก!BA79"")"),0)</f>
        <v>0</v>
      </c>
      <c r="N122" s="169">
        <f ca="1">IFERROR(__xludf.DUMMYFUNCTION("IMPORTRANGE(""https://docs.google.com/spreadsheets/d/1Yj_ptqi66GCucihVvJfMjLAmec39IyEx_6qawtMGysU/edit?usp=sharing"",""สบก!BB79"")"),0)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301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IFERROR(__xludf.DUMMYFUNCTION("IMPORTRANGE(""https://docs.google.com/spreadsheets/d/1SX6NBoVAgQJ6U1MVXOaj8PK2l7WJ3RER9xtqwdhxkhw/edit?usp=sharing"",""อ่างทอง!J58"")"),0)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IFERROR(__xludf.DUMMYFUNCTION("IMPORTRANGE(""https://docs.google.com/spreadsheets/d/1SX6NBoVAgQJ6U1MVXOaj8PK2l7WJ3RER9xtqwdhxkhw/edit?usp=sharing"",""อ่างทอง!J59"")"),0)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IFERROR(__xludf.DUMMYFUNCTION("IMPORTRANGE(""https://docs.google.com/spreadsheets/d/1SX6NBoVAgQJ6U1MVXOaj8PK2l7WJ3RER9xtqwdhxkhw/edit?usp=sharing"",""อ่างทอง!J60"")"),0)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IFERROR(__xludf.DUMMYFUNCTION("IMPORTRANGE(""https://docs.google.com/spreadsheets/d/1SX6NBoVAgQJ6U1MVXOaj8PK2l7WJ3RER9xtqwdhxkhw/edit?usp=sharing"",""อ่างทอง!J61"")"),0)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IFERROR(__xludf.DUMMYFUNCTION("IMPORTRANGE(""https://docs.google.com/spreadsheets/d/1SX6NBoVAgQJ6U1MVXOaj8PK2l7WJ3RER9xtqwdhxkhw/edit?usp=sharing"",""อ่างทอง!I62"")"),0)</f>
        <v>0</v>
      </c>
      <c r="J132" s="204">
        <f ca="1">IFERROR(__xludf.DUMMYFUNCTION("IMPORTRANGE(""https://docs.google.com/spreadsheets/d/1SX6NBoVAgQJ6U1MVXOaj8PK2l7WJ3RER9xtqwdhxkhw/edit?usp=sharing"",""อ่างทอง!J62"")"),0)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IFERROR(__xludf.DUMMYFUNCTION("IMPORTRANGE(""https://docs.google.com/spreadsheets/d/1SX6NBoVAgQJ6U1MVXOaj8PK2l7WJ3RER9xtqwdhxkhw/edit?usp=sharing"",""อ่างทอง!I63"")"),0)</f>
        <v>0</v>
      </c>
      <c r="J133" s="204">
        <f ca="1">IFERROR(__xludf.DUMMYFUNCTION("IMPORTRANGE(""https://docs.google.com/spreadsheets/d/1SX6NBoVAgQJ6U1MVXOaj8PK2l7WJ3RER9xtqwdhxkhw/edit?usp=sharing"",""อ่างทอง!J63"")"),0)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IFERROR(__xludf.DUMMYFUNCTION("IMPORTRANGE(""https://docs.google.com/spreadsheets/d/1SX6NBoVAgQJ6U1MVXOaj8PK2l7WJ3RER9xtqwdhxkhw/edit?usp=sharing"",""อ่างทอง!J64"")"),0)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IFERROR(__xludf.DUMMYFUNCTION("IMPORTRANGE(""https://docs.google.com/spreadsheets/d/1SX6NBoVAgQJ6U1MVXOaj8PK2l7WJ3RER9xtqwdhxkhw/edit?usp=sharing"",""อ่างทอง!J65"")"),0)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IFERROR(__xludf.DUMMYFUNCTION("IMPORTRANGE(""https://docs.google.com/spreadsheets/d/1SX6NBoVAgQJ6U1MVXOaj8PK2l7WJ3RER9xtqwdhxkhw/edit?usp=sharing"",""อ่างทอง!I68"")"),0)</f>
        <v>0</v>
      </c>
      <c r="J138" s="268">
        <f ca="1">IFERROR(__xludf.DUMMYFUNCTION("IMPORTRANGE(""https://docs.google.com/spreadsheets/d/1SX6NBoVAgQJ6U1MVXOaj8PK2l7WJ3RER9xtqwdhxkhw/edit?usp=sharing"",""อ่างทอง!J68"")"),0)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28400</v>
      </c>
      <c r="M140" s="152">
        <f t="shared" ca="1" si="64"/>
        <v>27625</v>
      </c>
      <c r="N140" s="152">
        <f t="shared" ca="1" si="64"/>
        <v>14000</v>
      </c>
      <c r="O140" s="151">
        <f t="shared" ref="O140:O142" ca="1" si="65">IF(L140&gt;0,N140*100/L140,0)</f>
        <v>49.29577464788732</v>
      </c>
      <c r="P140" s="151">
        <f t="shared" ref="P140:P142" ca="1" si="66">IF(M140&gt;0,N140*100/M140,0)</f>
        <v>50.678733031674206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28400</v>
      </c>
      <c r="M142" s="157">
        <f t="shared" ca="1" si="68"/>
        <v>27625</v>
      </c>
      <c r="N142" s="157">
        <f t="shared" ca="1" si="68"/>
        <v>14000</v>
      </c>
      <c r="O142" s="156">
        <f t="shared" ca="1" si="65"/>
        <v>49.29577464788732</v>
      </c>
      <c r="P142" s="156">
        <f t="shared" ca="1" si="66"/>
        <v>50.678733031674206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28400</v>
      </c>
      <c r="M144" s="168">
        <f ca="1">IFERROR(__xludf.DUMMYFUNCTION("IMPORTRANGE(""https://docs.google.com/spreadsheets/d/1Yj_ptqi66GCucihVvJfMjLAmec39IyEx_6qawtMGysU/edit?usp=sharing"",""สบก!BJ79"")"),27625)</f>
        <v>27625</v>
      </c>
      <c r="N144" s="169">
        <f ca="1">IFERROR(__xludf.DUMMYFUNCTION("IMPORTRANGE(""https://docs.google.com/spreadsheets/d/1Yj_ptqi66GCucihVvJfMjLAmec39IyEx_6qawtMGysU/edit?usp=sharing"",""สบก!BK79"")"),14000)</f>
        <v>14000</v>
      </c>
      <c r="O144" s="169">
        <f ca="1">IF(L144&gt;0,N144*100/L144,0)</f>
        <v>49.29577464788732</v>
      </c>
      <c r="P144" s="169">
        <f ca="1">IF(M144&gt;0,N144*100/M144,0)</f>
        <v>50.678733031674206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IFERROR(__xludf.DUMMYFUNCTION("IMPORTRANGE(""https://docs.google.com/spreadsheets/d/1Yj_ptqi66GCucihVvJfMjLAmec39IyEx_6qawtMGysU/edit?usp=sharing"",""สบก!BF79"")"),0)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IFERROR(__xludf.DUMMYFUNCTION("IMPORTRANGE(""https://docs.google.com/spreadsheets/d/1Yj_ptqi66GCucihVvJfMjLAmec39IyEx_6qawtMGysU/edit?usp=sharing"",""สบก!BG79"")"),28400)</f>
        <v>28400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IFERROR(__xludf.DUMMYFUNCTION("IMPORTRANGE(""https://docs.google.com/spreadsheets/d/1SX6NBoVAgQJ6U1MVXOaj8PK2l7WJ3RER9xtqwdhxkhw/edit?usp=sharing"",""อ่างทอง!I74"")"),4)</f>
        <v>4</v>
      </c>
      <c r="J149" s="276">
        <f ca="1">IFERROR(__xludf.DUMMYFUNCTION("IMPORTRANGE(""https://docs.google.com/spreadsheets/d/1SX6NBoVAgQJ6U1MVXOaj8PK2l7WJ3RER9xtqwdhxkhw/edit?usp=sharing"",""อ่างทอง!J74"")"),2)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IFERROR(__xludf.DUMMYFUNCTION("IMPORTRANGE(""https://docs.google.com/spreadsheets/d/1SX6NBoVAgQJ6U1MVXOaj8PK2l7WJ3RER9xtqwdhxkhw/edit?usp=sharing"",""อ่างทอง!J79"")"),0)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IFERROR(__xludf.DUMMYFUNCTION("IMPORTRANGE(""https://docs.google.com/spreadsheets/d/1SX6NBoVAgQJ6U1MVXOaj8PK2l7WJ3RER9xtqwdhxkhw/edit?usp=sharing"",""อ่างทอง!J80"")"),1)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IFERROR(__xludf.DUMMYFUNCTION("IMPORTRANGE(""https://docs.google.com/spreadsheets/d/1SX6NBoVAgQJ6U1MVXOaj8PK2l7WJ3RER9xtqwdhxkhw/edit?usp=sharing"",""อ่างทอง!J81"")"),1)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IFERROR(__xludf.DUMMYFUNCTION("IMPORTRANGE(""https://docs.google.com/spreadsheets/d/1SX6NBoVAgQJ6U1MVXOaj8PK2l7WJ3RER9xtqwdhxkhw/edit?usp=sharing"",""อ่างทอง!J82"")"),1)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IFERROR(__xludf.DUMMYFUNCTION("IMPORTRANGE(""https://docs.google.com/spreadsheets/d/1SX6NBoVAgQJ6U1MVXOaj8PK2l7WJ3RER9xtqwdhxkhw/edit?usp=sharing"",""อ่างทอง!I83"")"),4)</f>
        <v>4</v>
      </c>
      <c r="J158" s="189">
        <f ca="1">IFERROR(__xludf.DUMMYFUNCTION("IMPORTRANGE(""https://docs.google.com/spreadsheets/d/1SX6NBoVAgQJ6U1MVXOaj8PK2l7WJ3RER9xtqwdhxkhw/edit?usp=sharing"",""อ่างทอง!J83"")"),2)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IFERROR(__xludf.DUMMYFUNCTION("IMPORTRANGE(""https://docs.google.com/spreadsheets/d/1SX6NBoVAgQJ6U1MVXOaj8PK2l7WJ3RER9xtqwdhxkhw/edit?usp=sharing"",""อ่างทอง!J84"")"),47)</f>
        <v>47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IFERROR(__xludf.DUMMYFUNCTION("IMPORTRANGE(""https://docs.google.com/spreadsheets/d/1SX6NBoVAgQJ6U1MVXOaj8PK2l7WJ3RER9xtqwdhxkhw/edit?usp=sharing"",""อ่างทอง!J85"")"),47)</f>
        <v>47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IFERROR(__xludf.DUMMYFUNCTION("IMPORTRANGE(""https://docs.google.com/spreadsheets/d/1SX6NBoVAgQJ6U1MVXOaj8PK2l7WJ3RER9xtqwdhxkhw/edit?usp=sharing"",""อ่างทอง!J86"")"),0)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IFERROR(__xludf.DUMMYFUNCTION("IMPORTRANGE(""https://docs.google.com/spreadsheets/d/1SX6NBoVAgQJ6U1MVXOaj8PK2l7WJ3RER9xtqwdhxkhw/edit?usp=sharing"",""อ่างทอง!J87"")"),0)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IFERROR(__xludf.DUMMYFUNCTION("IMPORTRANGE(""https://docs.google.com/spreadsheets/d/1SX6NBoVAgQJ6U1MVXOaj8PK2l7WJ3RER9xtqwdhxkhw/edit?usp=sharing"",""อ่างทอง!J88"")"),0)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IFERROR(__xludf.DUMMYFUNCTION("IMPORTRANGE(""https://docs.google.com/spreadsheets/d/1SX6NBoVAgQJ6U1MVXOaj8PK2l7WJ3RER9xtqwdhxkhw/edit?usp=sharing"",""อ่างทอง!I89"")"),1)</f>
        <v>1</v>
      </c>
      <c r="J164" s="285">
        <f ca="1">IFERROR(__xludf.DUMMYFUNCTION("IMPORTRANGE(""https://docs.google.com/spreadsheets/d/1SX6NBoVAgQJ6U1MVXOaj8PK2l7WJ3RER9xtqwdhxkhw/edit?usp=sharing"",""อ่างทอง!J89"")"),1)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IFERROR(__xludf.DUMMYFUNCTION("IMPORTRANGE(""https://docs.google.com/spreadsheets/d/1SX6NBoVAgQJ6U1MVXOaj8PK2l7WJ3RER9xtqwdhxkhw/edit?usp=sharing"",""อ่างทอง!J94"")"),0)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IFERROR(__xludf.DUMMYFUNCTION("IMPORTRANGE(""https://docs.google.com/spreadsheets/d/1SX6NBoVAgQJ6U1MVXOaj8PK2l7WJ3RER9xtqwdhxkhw/edit?usp=sharing"",""อ่างทอง!J95"")"),1)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IFERROR(__xludf.DUMMYFUNCTION("IMPORTRANGE(""https://docs.google.com/spreadsheets/d/1SX6NBoVAgQJ6U1MVXOaj8PK2l7WJ3RER9xtqwdhxkhw/edit?usp=sharing"",""อ่างทอง!J96"")"),1)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IFERROR(__xludf.DUMMYFUNCTION("IMPORTRANGE(""https://docs.google.com/spreadsheets/d/1SX6NBoVAgQJ6U1MVXOaj8PK2l7WJ3RER9xtqwdhxkhw/edit?usp=sharing"",""อ่างทอง!J97"")"),1)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IFERROR(__xludf.DUMMYFUNCTION("IMPORTRANGE(""https://docs.google.com/spreadsheets/d/1SX6NBoVAgQJ6U1MVXOaj8PK2l7WJ3RER9xtqwdhxkhw/edit?usp=sharing"",""อ่างทอง!I98"")"),1)</f>
        <v>1</v>
      </c>
      <c r="J173" s="189">
        <f ca="1">IFERROR(__xludf.DUMMYFUNCTION("IMPORTRANGE(""https://docs.google.com/spreadsheets/d/1SX6NBoVAgQJ6U1MVXOaj8PK2l7WJ3RER9xtqwdhxkhw/edit?usp=sharing"",""อ่างทอง!J98"")"),1)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IFERROR(__xludf.DUMMYFUNCTION("IMPORTRANGE(""https://docs.google.com/spreadsheets/d/1SX6NBoVAgQJ6U1MVXOaj8PK2l7WJ3RER9xtqwdhxkhw/edit?usp=sharing"",""อ่างทอง!J99"")"),0)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IFERROR(__xludf.DUMMYFUNCTION("IMPORTRANGE(""https://docs.google.com/spreadsheets/d/1SX6NBoVAgQJ6U1MVXOaj8PK2l7WJ3RER9xtqwdhxkhw/edit?usp=sharing"",""อ่างทอง!J100"")"),0)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IFERROR(__xludf.DUMMYFUNCTION("IMPORTRANGE(""https://docs.google.com/spreadsheets/d/1SX6NBoVAgQJ6U1MVXOaj8PK2l7WJ3RER9xtqwdhxkhw/edit?usp=sharing"",""อ่างทอง!I101"")"),0)</f>
        <v>0</v>
      </c>
      <c r="J176" s="285">
        <f ca="1">IFERROR(__xludf.DUMMYFUNCTION("IMPORTRANGE(""https://docs.google.com/spreadsheets/d/1SX6NBoVAgQJ6U1MVXOaj8PK2l7WJ3RER9xtqwdhxkhw/edit?usp=sharing"",""อ่างทอง!J101"")"),0)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IFERROR(__xludf.DUMMYFUNCTION("IMPORTRANGE(""https://docs.google.com/spreadsheets/d/1SX6NBoVAgQJ6U1MVXOaj8PK2l7WJ3RER9xtqwdhxkhw/edit?usp=sharing"",""อ่างทอง!J106"")"),0)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IFERROR(__xludf.DUMMYFUNCTION("IMPORTRANGE(""https://docs.google.com/spreadsheets/d/1SX6NBoVAgQJ6U1MVXOaj8PK2l7WJ3RER9xtqwdhxkhw/edit?usp=sharing"",""อ่างทอง!J107"")"),0)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IFERROR(__xludf.DUMMYFUNCTION("IMPORTRANGE(""https://docs.google.com/spreadsheets/d/1SX6NBoVAgQJ6U1MVXOaj8PK2l7WJ3RER9xtqwdhxkhw/edit?usp=sharing"",""อ่างทอง!J108"")"),0)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IFERROR(__xludf.DUMMYFUNCTION("IMPORTRANGE(""https://docs.google.com/spreadsheets/d/1SX6NBoVAgQJ6U1MVXOaj8PK2l7WJ3RER9xtqwdhxkhw/edit?usp=sharing"",""อ่างทอง!J109"")"),0)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IFERROR(__xludf.DUMMYFUNCTION("IMPORTRANGE(""https://docs.google.com/spreadsheets/d/1SX6NBoVAgQJ6U1MVXOaj8PK2l7WJ3RER9xtqwdhxkhw/edit?usp=sharing"",""อ่างทอง!I110"")"),0)</f>
        <v>0</v>
      </c>
      <c r="J185" s="204">
        <f ca="1">IFERROR(__xludf.DUMMYFUNCTION("IMPORTRANGE(""https://docs.google.com/spreadsheets/d/1SX6NBoVAgQJ6U1MVXOaj8PK2l7WJ3RER9xtqwdhxkhw/edit?usp=sharing"",""อ่างทอง!J110"")"),0)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IFERROR(__xludf.DUMMYFUNCTION("IMPORTRANGE(""https://docs.google.com/spreadsheets/d/1SX6NBoVAgQJ6U1MVXOaj8PK2l7WJ3RER9xtqwdhxkhw/edit?usp=sharing"",""อ่างทอง!I111"")"),0)</f>
        <v>0</v>
      </c>
      <c r="J186" s="204">
        <f ca="1">IFERROR(__xludf.DUMMYFUNCTION("IMPORTRANGE(""https://docs.google.com/spreadsheets/d/1SX6NBoVAgQJ6U1MVXOaj8PK2l7WJ3RER9xtqwdhxkhw/edit?usp=sharing"",""อ่างทอง!J111"")"),0)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IFERROR(__xludf.DUMMYFUNCTION("IMPORTRANGE(""https://docs.google.com/spreadsheets/d/1SX6NBoVAgQJ6U1MVXOaj8PK2l7WJ3RER9xtqwdhxkhw/edit?usp=sharing"",""อ่างทอง!J112"")"),0)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IFERROR(__xludf.DUMMYFUNCTION("IMPORTRANGE(""https://docs.google.com/spreadsheets/d/1SX6NBoVAgQJ6U1MVXOaj8PK2l7WJ3RER9xtqwdhxkhw/edit?usp=sharing"",""อ่างทอง!J113"")"),0)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IFERROR(__xludf.DUMMYFUNCTION("IMPORTRANGE(""https://docs.google.com/spreadsheets/d/1SX6NBoVAgQJ6U1MVXOaj8PK2l7WJ3RER9xtqwdhxkhw/edit?usp=sharing"",""อ่างทอง!I114"")"),5000)</f>
        <v>5000</v>
      </c>
      <c r="J189" s="285">
        <f ca="1">IFERROR(__xludf.DUMMYFUNCTION("IMPORTRANGE(""https://docs.google.com/spreadsheets/d/1SX6NBoVAgQJ6U1MVXOaj8PK2l7WJ3RER9xtqwdhxkhw/edit?usp=sharing"",""อ่างทอง!J114"")"),0)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IFERROR(__xludf.DUMMYFUNCTION("IMPORTRANGE(""https://docs.google.com/spreadsheets/d/1SX6NBoVAgQJ6U1MVXOaj8PK2l7WJ3RER9xtqwdhxkhw/edit?usp=sharing"",""อ่างทอง!J119"")"),0)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IFERROR(__xludf.DUMMYFUNCTION("IMPORTRANGE(""https://docs.google.com/spreadsheets/d/1SX6NBoVAgQJ6U1MVXOaj8PK2l7WJ3RER9xtqwdhxkhw/edit?usp=sharing"",""อ่างทอง!J120"")"),1)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IFERROR(__xludf.DUMMYFUNCTION("IMPORTRANGE(""https://docs.google.com/spreadsheets/d/1SX6NBoVAgQJ6U1MVXOaj8PK2l7WJ3RER9xtqwdhxkhw/edit?usp=sharing"",""อ่างทอง!J121"")"),1)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IFERROR(__xludf.DUMMYFUNCTION("IMPORTRANGE(""https://docs.google.com/spreadsheets/d/1SX6NBoVAgQJ6U1MVXOaj8PK2l7WJ3RER9xtqwdhxkhw/edit?usp=sharing"",""อ่างทอง!J122"")"),1)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IFERROR(__xludf.DUMMYFUNCTION("IMPORTRANGE(""https://docs.google.com/spreadsheets/d/1SX6NBoVAgQJ6U1MVXOaj8PK2l7WJ3RER9xtqwdhxkhw/edit?usp=sharing"",""อ่างทอง!I124"")"),5000)</f>
        <v>5000</v>
      </c>
      <c r="J199" s="189">
        <f ca="1">IFERROR(__xludf.DUMMYFUNCTION("IMPORTRANGE(""https://docs.google.com/spreadsheets/d/1SX6NBoVAgQJ6U1MVXOaj8PK2l7WJ3RER9xtqwdhxkhw/edit?usp=sharing"",""อ่างทอง!J124"")"),0)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IFERROR(__xludf.DUMMYFUNCTION("IMPORTRANGE(""https://docs.google.com/spreadsheets/d/1SX6NBoVAgQJ6U1MVXOaj8PK2l7WJ3RER9xtqwdhxkhw/edit?usp=sharing"",""อ่างทอง!I125"")"),5000)</f>
        <v>5000</v>
      </c>
      <c r="J200" s="189">
        <f ca="1">IFERROR(__xludf.DUMMYFUNCTION("IMPORTRANGE(""https://docs.google.com/spreadsheets/d/1SX6NBoVAgQJ6U1MVXOaj8PK2l7WJ3RER9xtqwdhxkhw/edit?usp=sharing"",""อ่างทอง!J125"")"),0)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IFERROR(__xludf.DUMMYFUNCTION("IMPORTRANGE(""https://docs.google.com/spreadsheets/d/1SX6NBoVAgQJ6U1MVXOaj8PK2l7WJ3RER9xtqwdhxkhw/edit?usp=sharing"",""อ่างทอง!I126"")"),0)</f>
        <v>0</v>
      </c>
      <c r="J201" s="189">
        <f ca="1">IFERROR(__xludf.DUMMYFUNCTION("IMPORTRANGE(""https://docs.google.com/spreadsheets/d/1SX6NBoVAgQJ6U1MVXOaj8PK2l7WJ3RER9xtqwdhxkhw/edit?usp=sharing"",""อ่างทอง!J126"")"),0)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IFERROR(__xludf.DUMMYFUNCTION("IMPORTRANGE(""https://docs.google.com/spreadsheets/d/1SX6NBoVAgQJ6U1MVXOaj8PK2l7WJ3RER9xtqwdhxkhw/edit?usp=sharing"",""อ่างทอง!J127"")"),0)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IFERROR(__xludf.DUMMYFUNCTION("IMPORTRANGE(""https://docs.google.com/spreadsheets/d/1SX6NBoVAgQJ6U1MVXOaj8PK2l7WJ3RER9xtqwdhxkhw/edit?usp=sharing"",""อ่างทอง!J128"")"),0)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IFERROR(__xludf.DUMMYFUNCTION("IMPORTRANGE(""https://docs.google.com/spreadsheets/d/1SX6NBoVAgQJ6U1MVXOaj8PK2l7WJ3RER9xtqwdhxkhw/edit?usp=sharing"",""อ่างทอง!I129"")"),0)</f>
        <v>0</v>
      </c>
      <c r="J204" s="285">
        <f ca="1">IFERROR(__xludf.DUMMYFUNCTION("IMPORTRANGE(""https://docs.google.com/spreadsheets/d/1SX6NBoVAgQJ6U1MVXOaj8PK2l7WJ3RER9xtqwdhxkhw/edit?usp=sharing"",""อ่างทอง!J129"")"),0)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IFERROR(__xludf.DUMMYFUNCTION("IMPORTRANGE(""https://docs.google.com/spreadsheets/d/1SX6NBoVAgQJ6U1MVXOaj8PK2l7WJ3RER9xtqwdhxkhw/edit?usp=sharing"",""อ่างทอง!J134"")"),0)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IFERROR(__xludf.DUMMYFUNCTION("IMPORTRANGE(""https://docs.google.com/spreadsheets/d/1SX6NBoVAgQJ6U1MVXOaj8PK2l7WJ3RER9xtqwdhxkhw/edit?usp=sharing"",""อ่างทอง!J135"")"),0)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IFERROR(__xludf.DUMMYFUNCTION("IMPORTRANGE(""https://docs.google.com/spreadsheets/d/1SX6NBoVAgQJ6U1MVXOaj8PK2l7WJ3RER9xtqwdhxkhw/edit?usp=sharing"",""อ่างทอง!J136"")"),0)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IFERROR(__xludf.DUMMYFUNCTION("IMPORTRANGE(""https://docs.google.com/spreadsheets/d/1SX6NBoVAgQJ6U1MVXOaj8PK2l7WJ3RER9xtqwdhxkhw/edit?usp=sharing"",""อ่างทอง!J137"")"),0)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IFERROR(__xludf.DUMMYFUNCTION("IMPORTRANGE(""https://docs.google.com/spreadsheets/d/1SX6NBoVAgQJ6U1MVXOaj8PK2l7WJ3RER9xtqwdhxkhw/edit?usp=sharing"",""อ่างทอง!I138"")"),0)</f>
        <v>0</v>
      </c>
      <c r="J213" s="204">
        <f ca="1">IFERROR(__xludf.DUMMYFUNCTION("IMPORTRANGE(""https://docs.google.com/spreadsheets/d/1SX6NBoVAgQJ6U1MVXOaj8PK2l7WJ3RER9xtqwdhxkhw/edit?usp=sharing"",""อ่างทอง!J138"")"),0)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IFERROR(__xludf.DUMMYFUNCTION("IMPORTRANGE(""https://docs.google.com/spreadsheets/d/1SX6NBoVAgQJ6U1MVXOaj8PK2l7WJ3RER9xtqwdhxkhw/edit?usp=sharing"",""อ่างทอง!I140"")"),0)</f>
        <v>0</v>
      </c>
      <c r="J215" s="204">
        <f ca="1">IFERROR(__xludf.DUMMYFUNCTION("IMPORTRANGE(""https://docs.google.com/spreadsheets/d/1SX6NBoVAgQJ6U1MVXOaj8PK2l7WJ3RER9xtqwdhxkhw/edit?usp=sharing"",""อ่างทอง!J140"")"),0)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IFERROR(__xludf.DUMMYFUNCTION("IMPORTRANGE(""https://docs.google.com/spreadsheets/d/1SX6NBoVAgQJ6U1MVXOaj8PK2l7WJ3RER9xtqwdhxkhw/edit?usp=sharing"",""อ่างทอง!I141"")"),0)</f>
        <v>0</v>
      </c>
      <c r="J216" s="204">
        <f ca="1">IFERROR(__xludf.DUMMYFUNCTION("IMPORTRANGE(""https://docs.google.com/spreadsheets/d/1SX6NBoVAgQJ6U1MVXOaj8PK2l7WJ3RER9xtqwdhxkhw/edit?usp=sharing"",""อ่างทอง!J141"")"),0)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IFERROR(__xludf.DUMMYFUNCTION("IMPORTRANGE(""https://docs.google.com/spreadsheets/d/1SX6NBoVAgQJ6U1MVXOaj8PK2l7WJ3RER9xtqwdhxkhw/edit?usp=sharing"",""อ่างทอง!J142"")"),0)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IFERROR(__xludf.DUMMYFUNCTION("IMPORTRANGE(""https://docs.google.com/spreadsheets/d/1SX6NBoVAgQJ6U1MVXOaj8PK2l7WJ3RER9xtqwdhxkhw/edit?usp=sharing"",""อ่างทอง!J143"")"),0)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IFERROR(__xludf.DUMMYFUNCTION("IMPORTRANGE(""https://docs.google.com/spreadsheets/d/1SX6NBoVAgQJ6U1MVXOaj8PK2l7WJ3RER9xtqwdhxkhw/edit?usp=sharing"",""อ่างทอง!I144"")"),0)</f>
        <v>0</v>
      </c>
      <c r="J219" s="268">
        <f ca="1">IFERROR(__xludf.DUMMYFUNCTION("IMPORTRANGE(""https://docs.google.com/spreadsheets/d/1SX6NBoVAgQJ6U1MVXOaj8PK2l7WJ3RER9xtqwdhxkhw/edit?usp=sharing"",""อ่างทอง!J144"")"),0)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IFERROR(__xludf.DUMMYFUNCTION("IMPORTRANGE(""https://docs.google.com/spreadsheets/d/1Yj_ptqi66GCucihVvJfMjLAmec39IyEx_6qawtMGysU/edit?usp=sharing"",""สบก!BS79"")"),0)</f>
        <v>0</v>
      </c>
      <c r="N224" s="169">
        <f ca="1">IFERROR(__xludf.DUMMYFUNCTION("IMPORTRANGE(""https://docs.google.com/spreadsheets/d/1Yj_ptqi66GCucihVvJfMjLAmec39IyEx_6qawtMGysU/edit?usp=sharing"",""สบก!BT79"")"),0)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IFERROR(__xludf.DUMMYFUNCTION("IMPORTRANGE(""https://docs.google.com/spreadsheets/d/1Yj_ptqi66GCucihVvJfMjLAmec39IyEx_6qawtMGysU/edit?usp=sharing"",""สบก!BP79"")"),0)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IFERROR(__xludf.DUMMYFUNCTION("IMPORTRANGE(""https://docs.google.com/spreadsheets/d/1SX6NBoVAgQJ6U1MVXOaj8PK2l7WJ3RER9xtqwdhxkhw/edit?usp=sharing"",""อ่างทอง!I149"")"),0)</f>
        <v>0</v>
      </c>
      <c r="J229" s="268">
        <f ca="1">IFERROR(__xludf.DUMMYFUNCTION("IMPORTRANGE(""https://docs.google.com/spreadsheets/d/1SX6NBoVAgQJ6U1MVXOaj8PK2l7WJ3RER9xtqwdhxkhw/edit?usp=sharing"",""อ่างทอง!J149"")"),0)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IFERROR(__xludf.DUMMYFUNCTION("IMPORTRANGE(""https://docs.google.com/spreadsheets/d/1SX6NBoVAgQJ6U1MVXOaj8PK2l7WJ3RER9xtqwdhxkhw/edit?usp=sharing"",""อ่างทอง!J151"")"),0)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IFERROR(__xludf.DUMMYFUNCTION("IMPORTRANGE(""https://docs.google.com/spreadsheets/d/1SX6NBoVAgQJ6U1MVXOaj8PK2l7WJ3RER9xtqwdhxkhw/edit?usp=sharing"",""อ่างทอง!J152"")"),0)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IFERROR(__xludf.DUMMYFUNCTION("IMPORTRANGE(""https://docs.google.com/spreadsheets/d/1SX6NBoVAgQJ6U1MVXOaj8PK2l7WJ3RER9xtqwdhxkhw/edit?usp=sharing"",""อ่างทอง!J153"")"),0)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IFERROR(__xludf.DUMMYFUNCTION("IMPORTRANGE(""https://docs.google.com/spreadsheets/d/1SX6NBoVAgQJ6U1MVXOaj8PK2l7WJ3RER9xtqwdhxkhw/edit?usp=sharing"",""อ่างทอง!J154"")"),0)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IFERROR(__xludf.DUMMYFUNCTION("IMPORTRANGE(""https://docs.google.com/spreadsheets/d/1SX6NBoVAgQJ6U1MVXOaj8PK2l7WJ3RER9xtqwdhxkhw/edit?usp=sharing"",""อ่างทอง!I155"")"),0)</f>
        <v>0</v>
      </c>
      <c r="J235" s="189">
        <f ca="1">IFERROR(__xludf.DUMMYFUNCTION("IMPORTRANGE(""https://docs.google.com/spreadsheets/d/1SX6NBoVAgQJ6U1MVXOaj8PK2l7WJ3RER9xtqwdhxkhw/edit?usp=sharing"",""อ่างทอง!J155"")"),0)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IFERROR(__xludf.DUMMYFUNCTION("IMPORTRANGE(""https://docs.google.com/spreadsheets/d/1SX6NBoVAgQJ6U1MVXOaj8PK2l7WJ3RER9xtqwdhxkhw/edit?usp=sharing"",""อ่างทอง!J156"")"),0)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IFERROR(__xludf.DUMMYFUNCTION("IMPORTRANGE(""https://docs.google.com/spreadsheets/d/1SX6NBoVAgQJ6U1MVXOaj8PK2l7WJ3RER9xtqwdhxkhw/edit?usp=sharing"",""อ่างทอง!J157"")"),0)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IFERROR(__xludf.DUMMYFUNCTION("IMPORTRANGE(""https://docs.google.com/spreadsheets/d/1SX6NBoVAgQJ6U1MVXOaj8PK2l7WJ3RER9xtqwdhxkhw/edit?usp=sharing"",""อ่างทอง!I158"")"),0)</f>
        <v>0</v>
      </c>
      <c r="J238" s="268">
        <f ca="1">IFERROR(__xludf.DUMMYFUNCTION("IMPORTRANGE(""https://docs.google.com/spreadsheets/d/1SX6NBoVAgQJ6U1MVXOaj8PK2l7WJ3RER9xtqwdhxkhw/edit?usp=sharing"",""อ่างทอง!J158"")"),0)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IFERROR(__xludf.DUMMYFUNCTION("IMPORTRANGE(""https://docs.google.com/spreadsheets/d/1SX6NBoVAgQJ6U1MVXOaj8PK2l7WJ3RER9xtqwdhxkhw/edit?usp=sharing"",""อ่างทอง!J159"")"),"")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IFERROR(__xludf.DUMMYFUNCTION("IMPORTRANGE(""https://docs.google.com/spreadsheets/d/1SX6NBoVAgQJ6U1MVXOaj8PK2l7WJ3RER9xtqwdhxkhw/edit?usp=sharing"",""อ่างทอง!J161"")"),0)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IFERROR(__xludf.DUMMYFUNCTION("IMPORTRANGE(""https://docs.google.com/spreadsheets/d/1SX6NBoVAgQJ6U1MVXOaj8PK2l7WJ3RER9xtqwdhxkhw/edit?usp=sharing"",""อ่างทอง!J162"")"),0)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IFERROR(__xludf.DUMMYFUNCTION("IMPORTRANGE(""https://docs.google.com/spreadsheets/d/1SX6NBoVAgQJ6U1MVXOaj8PK2l7WJ3RER9xtqwdhxkhw/edit?usp=sharing"",""อ่างทอง!J163"")"),0)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IFERROR(__xludf.DUMMYFUNCTION("IMPORTRANGE(""https://docs.google.com/spreadsheets/d/1SX6NBoVAgQJ6U1MVXOaj8PK2l7WJ3RER9xtqwdhxkhw/edit?usp=sharing"",""อ่างทอง!I164"")"),0)</f>
        <v>0</v>
      </c>
      <c r="J244" s="188">
        <f ca="1">IFERROR(__xludf.DUMMYFUNCTION("IMPORTRANGE(""https://docs.google.com/spreadsheets/d/1SX6NBoVAgQJ6U1MVXOaj8PK2l7WJ3RER9xtqwdhxkhw/edit?usp=sharing"",""อ่างทอง!J164"")"),0)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IFERROR(__xludf.DUMMYFUNCTION("IMPORTRANGE(""https://docs.google.com/spreadsheets/d/1SX6NBoVAgQJ6U1MVXOaj8PK2l7WJ3RER9xtqwdhxkhw/edit?usp=sharing"",""อ่างทอง!J165"")"),0)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IFERROR(__xludf.DUMMYFUNCTION("IMPORTRANGE(""https://docs.google.com/spreadsheets/d/1SX6NBoVAgQJ6U1MVXOaj8PK2l7WJ3RER9xtqwdhxkhw/edit?usp=sharing"",""อ่างทอง!J166"")"),0)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IFERROR(__xludf.DUMMYFUNCTION("IMPORTRANGE(""https://docs.google.com/spreadsheets/d/1SX6NBoVAgQJ6U1MVXOaj8PK2l7WJ3RER9xtqwdhxkhw/edit?usp=sharing"",""อ่างทอง!I169"")"),0)</f>
        <v>0</v>
      </c>
      <c r="J249" s="317">
        <f ca="1">IFERROR(__xludf.DUMMYFUNCTION("IMPORTRANGE(""https://docs.google.com/spreadsheets/d/1SX6NBoVAgQJ6U1MVXOaj8PK2l7WJ3RER9xtqwdhxkhw/edit?usp=sharing"",""อ่างทอง!J169"")"),0)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IFERROR(__xludf.DUMMYFUNCTION("IMPORTRANGE(""https://docs.google.com/spreadsheets/d/1Yj_ptqi66GCucihVvJfMjLAmec39IyEx_6qawtMGysU/edit?usp=sharing"",""สบก!CB79"")"),0)</f>
        <v>0</v>
      </c>
      <c r="N254" s="169">
        <f ca="1">IFERROR(__xludf.DUMMYFUNCTION("IMPORTRANGE(""https://docs.google.com/spreadsheets/d/1Yj_ptqi66GCucihVvJfMjLAmec39IyEx_6qawtMGysU/edit?usp=sharing"",""สบก!CC79"")"),0)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IFERROR(__xludf.DUMMYFUNCTION("IMPORTRANGE(""https://docs.google.com/spreadsheets/d/1Yj_ptqi66GCucihVvJfMjLAmec39IyEx_6qawtMGysU/edit?usp=sharing"",""สบก!BY79"")"),0)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IFERROR(__xludf.DUMMYFUNCTION("IMPORTRANGE(""https://docs.google.com/spreadsheets/d/1SX6NBoVAgQJ6U1MVXOaj8PK2l7WJ3RER9xtqwdhxkhw/edit?usp=sharing"",""อ่างทอง!J175"")"),0)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IFERROR(__xludf.DUMMYFUNCTION("IMPORTRANGE(""https://docs.google.com/spreadsheets/d/1SX6NBoVAgQJ6U1MVXOaj8PK2l7WJ3RER9xtqwdhxkhw/edit?usp=sharing"",""อ่างทอง!J176"")"),0)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IFERROR(__xludf.DUMMYFUNCTION("IMPORTRANGE(""https://docs.google.com/spreadsheets/d/1SX6NBoVAgQJ6U1MVXOaj8PK2l7WJ3RER9xtqwdhxkhw/edit?usp=sharing"",""อ่างทอง!J177"")"),0)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IFERROR(__xludf.DUMMYFUNCTION("IMPORTRANGE(""https://docs.google.com/spreadsheets/d/1SX6NBoVAgQJ6U1MVXOaj8PK2l7WJ3RER9xtqwdhxkhw/edit?usp=sharing"",""อ่างทอง!J178"")"),0)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IFERROR(__xludf.DUMMYFUNCTION("IMPORTRANGE(""https://docs.google.com/spreadsheets/d/1SX6NBoVAgQJ6U1MVXOaj8PK2l7WJ3RER9xtqwdhxkhw/edit?usp=sharing"",""อ่างทอง!I179"")"),0)</f>
        <v>0</v>
      </c>
      <c r="J264" s="189">
        <f ca="1">IFERROR(__xludf.DUMMYFUNCTION("IMPORTRANGE(""https://docs.google.com/spreadsheets/d/1SX6NBoVAgQJ6U1MVXOaj8PK2l7WJ3RER9xtqwdhxkhw/edit?usp=sharing"",""อ่างทอง!J179"")"),0)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IFERROR(__xludf.DUMMYFUNCTION("IMPORTRANGE(""https://docs.google.com/spreadsheets/d/1SX6NBoVAgQJ6U1MVXOaj8PK2l7WJ3RER9xtqwdhxkhw/edit?usp=sharing"",""อ่างทอง!I180"")"),0)</f>
        <v>0</v>
      </c>
      <c r="J265" s="189">
        <f ca="1">IFERROR(__xludf.DUMMYFUNCTION("IMPORTRANGE(""https://docs.google.com/spreadsheets/d/1SX6NBoVAgQJ6U1MVXOaj8PK2l7WJ3RER9xtqwdhxkhw/edit?usp=sharing"",""อ่างทอง!J180"")"),0)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IFERROR(__xludf.DUMMYFUNCTION("IMPORTRANGE(""https://docs.google.com/spreadsheets/d/1SX6NBoVAgQJ6U1MVXOaj8PK2l7WJ3RER9xtqwdhxkhw/edit?usp=sharing"",""อ่างทอง!I181"")"),0)</f>
        <v>0</v>
      </c>
      <c r="J266" s="189">
        <f ca="1">IFERROR(__xludf.DUMMYFUNCTION("IMPORTRANGE(""https://docs.google.com/spreadsheets/d/1SX6NBoVAgQJ6U1MVXOaj8PK2l7WJ3RER9xtqwdhxkhw/edit?usp=sharing"",""อ่างทอง!J181"")"),0)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IFERROR(__xludf.DUMMYFUNCTION("IMPORTRANGE(""https://docs.google.com/spreadsheets/d/1SX6NBoVAgQJ6U1MVXOaj8PK2l7WJ3RER9xtqwdhxkhw/edit?usp=sharing"",""อ่างทอง!I182"")"),0)</f>
        <v>0</v>
      </c>
      <c r="J267" s="189">
        <f ca="1">IFERROR(__xludf.DUMMYFUNCTION("IMPORTRANGE(""https://docs.google.com/spreadsheets/d/1SX6NBoVAgQJ6U1MVXOaj8PK2l7WJ3RER9xtqwdhxkhw/edit?usp=sharing"",""อ่างทอง!J182"")"),0)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IFERROR(__xludf.DUMMYFUNCTION("IMPORTRANGE(""https://docs.google.com/spreadsheets/d/1SX6NBoVAgQJ6U1MVXOaj8PK2l7WJ3RER9xtqwdhxkhw/edit?usp=sharing"",""อ่างทอง!J183"")"),0)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IFERROR(__xludf.DUMMYFUNCTION("IMPORTRANGE(""https://docs.google.com/spreadsheets/d/1SX6NBoVAgQJ6U1MVXOaj8PK2l7WJ3RER9xtqwdhxkhw/edit?usp=sharing"",""อ่างทอง!J184"")"),0)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IFERROR(__xludf.DUMMYFUNCTION("IMPORTRANGE(""https://docs.google.com/spreadsheets/d/1SX6NBoVAgQJ6U1MVXOaj8PK2l7WJ3RER9xtqwdhxkhw/edit?usp=sharing"",""อ่างทอง!I185"")"),0)</f>
        <v>0</v>
      </c>
      <c r="J270" s="317">
        <f ca="1">IFERROR(__xludf.DUMMYFUNCTION("IMPORTRANGE(""https://docs.google.com/spreadsheets/d/1SX6NBoVAgQJ6U1MVXOaj8PK2l7WJ3RER9xtqwdhxkhw/edit?usp=sharing"",""อ่างทอง!J185"")"),0)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IFERROR(__xludf.DUMMYFUNCTION("IMPORTRANGE(""https://docs.google.com/spreadsheets/d/1Yj_ptqi66GCucihVvJfMjLAmec39IyEx_6qawtMGysU/edit?usp=sharing"",""สบก!CK79"")"),0)</f>
        <v>0</v>
      </c>
      <c r="N275" s="169">
        <f ca="1">IFERROR(__xludf.DUMMYFUNCTION("IMPORTRANGE(""https://docs.google.com/spreadsheets/d/1Yj_ptqi66GCucihVvJfMjLAmec39IyEx_6qawtMGysU/edit?usp=sharing"",""สบก!CL79"")"),0)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IFERROR(__xludf.DUMMYFUNCTION("IMPORTRANGE(""https://docs.google.com/spreadsheets/d/1Yj_ptqi66GCucihVvJfMjLAmec39IyEx_6qawtMGysU/edit?usp=sharing"",""สบก!CH79"")"),0)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IFERROR(__xludf.DUMMYFUNCTION("IMPORTRANGE(""https://docs.google.com/spreadsheets/d/1SX6NBoVAgQJ6U1MVXOaj8PK2l7WJ3RER9xtqwdhxkhw/edit?usp=sharing"",""อ่างทอง!J191"")"),0)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IFERROR(__xludf.DUMMYFUNCTION("IMPORTRANGE(""https://docs.google.com/spreadsheets/d/1SX6NBoVAgQJ6U1MVXOaj8PK2l7WJ3RER9xtqwdhxkhw/edit?usp=sharing"",""อ่างทอง!J192"")"),0)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IFERROR(__xludf.DUMMYFUNCTION("IMPORTRANGE(""https://docs.google.com/spreadsheets/d/1SX6NBoVAgQJ6U1MVXOaj8PK2l7WJ3RER9xtqwdhxkhw/edit?usp=sharing"",""อ่างทอง!J193"")"),0)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IFERROR(__xludf.DUMMYFUNCTION("IMPORTRANGE(""https://docs.google.com/spreadsheets/d/1SX6NBoVAgQJ6U1MVXOaj8PK2l7WJ3RER9xtqwdhxkhw/edit?usp=sharing"",""อ่างทอง!J194"")"),0)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IFERROR(__xludf.DUMMYFUNCTION("IMPORTRANGE(""https://docs.google.com/spreadsheets/d/1SX6NBoVAgQJ6U1MVXOaj8PK2l7WJ3RER9xtqwdhxkhw/edit?usp=sharing"",""อ่างทอง!I195"")"),0)</f>
        <v>0</v>
      </c>
      <c r="J285" s="189">
        <f ca="1">IFERROR(__xludf.DUMMYFUNCTION("IMPORTRANGE(""https://docs.google.com/spreadsheets/d/1SX6NBoVAgQJ6U1MVXOaj8PK2l7WJ3RER9xtqwdhxkhw/edit?usp=sharing"",""อ่างทอง!J195"")"),0)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IFERROR(__xludf.DUMMYFUNCTION("IMPORTRANGE(""https://docs.google.com/spreadsheets/d/1SX6NBoVAgQJ6U1MVXOaj8PK2l7WJ3RER9xtqwdhxkhw/edit?usp=sharing"",""อ่างทอง!J196"")"),0)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IFERROR(__xludf.DUMMYFUNCTION("IMPORTRANGE(""https://docs.google.com/spreadsheets/d/1SX6NBoVAgQJ6U1MVXOaj8PK2l7WJ3RER9xtqwdhxkhw/edit?usp=sharing"",""อ่างทอง!J197"")"),0)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IFERROR(__xludf.DUMMYFUNCTION("IMPORTRANGE(""https://docs.google.com/spreadsheets/d/1SX6NBoVAgQJ6U1MVXOaj8PK2l7WJ3RER9xtqwdhxkhw/edit?usp=sharing"",""อ่างทอง!I199"")"),0)</f>
        <v>0</v>
      </c>
      <c r="J289" s="317">
        <f ca="1">IFERROR(__xludf.DUMMYFUNCTION("IMPORTRANGE(""https://docs.google.com/spreadsheets/d/1SX6NBoVAgQJ6U1MVXOaj8PK2l7WJ3RER9xtqwdhxkhw/edit?usp=sharing"",""อ่างทอง!J199"")"),0)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IFERROR(__xludf.DUMMYFUNCTION("IMPORTRANGE(""https://docs.google.com/spreadsheets/d/1Yj_ptqi66GCucihVvJfMjLAmec39IyEx_6qawtMGysU/edit?usp=sharing"",""สบก!CT79"")"),0)</f>
        <v>0</v>
      </c>
      <c r="N294" s="169">
        <f ca="1">IFERROR(__xludf.DUMMYFUNCTION("IMPORTRANGE(""https://docs.google.com/spreadsheets/d/1Yj_ptqi66GCucihVvJfMjLAmec39IyEx_6qawtMGysU/edit?usp=sharing"",""สบก!CU79"")"),0)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IFERROR(__xludf.DUMMYFUNCTION("IMPORTRANGE(""https://docs.google.com/spreadsheets/d/1SX6NBoVAgQJ6U1MVXOaj8PK2l7WJ3RER9xtqwdhxkhw/edit?usp=sharing"",""อ่างทอง!J205"")"),0)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IFERROR(__xludf.DUMMYFUNCTION("IMPORTRANGE(""https://docs.google.com/spreadsheets/d/1SX6NBoVAgQJ6U1MVXOaj8PK2l7WJ3RER9xtqwdhxkhw/edit?usp=sharing"",""อ่างทอง!J206"")"),0)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IFERROR(__xludf.DUMMYFUNCTION("IMPORTRANGE(""https://docs.google.com/spreadsheets/d/1SX6NBoVAgQJ6U1MVXOaj8PK2l7WJ3RER9xtqwdhxkhw/edit?usp=sharing"",""อ่างทอง!J207"")"),0)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IFERROR(__xludf.DUMMYFUNCTION("IMPORTRANGE(""https://docs.google.com/spreadsheets/d/1SX6NBoVAgQJ6U1MVXOaj8PK2l7WJ3RER9xtqwdhxkhw/edit?usp=sharing"",""อ่างทอง!J208"")"),0)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IFERROR(__xludf.DUMMYFUNCTION("IMPORTRANGE(""https://docs.google.com/spreadsheets/d/1SX6NBoVAgQJ6U1MVXOaj8PK2l7WJ3RER9xtqwdhxkhw/edit?usp=sharing"",""อ่างทอง!I209"")"),0)</f>
        <v>0</v>
      </c>
      <c r="J304" s="204">
        <f ca="1">IFERROR(__xludf.DUMMYFUNCTION("IMPORTRANGE(""https://docs.google.com/spreadsheets/d/1SX6NBoVAgQJ6U1MVXOaj8PK2l7WJ3RER9xtqwdhxkhw/edit?usp=sharing"",""อ่างทอง!J209"")"),0)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IFERROR(__xludf.DUMMYFUNCTION("IMPORTRANGE(""https://docs.google.com/spreadsheets/d/1SX6NBoVAgQJ6U1MVXOaj8PK2l7WJ3RER9xtqwdhxkhw/edit?usp=sharing"",""อ่างทอง!I211"")"),0)</f>
        <v>0</v>
      </c>
      <c r="J306" s="204">
        <f ca="1">IFERROR(__xludf.DUMMYFUNCTION("IMPORTRANGE(""https://docs.google.com/spreadsheets/d/1SX6NBoVAgQJ6U1MVXOaj8PK2l7WJ3RER9xtqwdhxkhw/edit?usp=sharing"",""อ่างทอง!J211"")"),0)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IFERROR(__xludf.DUMMYFUNCTION("IMPORTRANGE(""https://docs.google.com/spreadsheets/d/1SX6NBoVAgQJ6U1MVXOaj8PK2l7WJ3RER9xtqwdhxkhw/edit?usp=sharing"",""อ่างทอง!J212"")"),0)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IFERROR(__xludf.DUMMYFUNCTION("IMPORTRANGE(""https://docs.google.com/spreadsheets/d/1SX6NBoVAgQJ6U1MVXOaj8PK2l7WJ3RER9xtqwdhxkhw/edit?usp=sharing"",""อ่างทอง!J213"")"),0)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IFERROR(__xludf.DUMMYFUNCTION("IMPORTRANGE(""https://docs.google.com/spreadsheets/d/1SX6NBoVAgQJ6U1MVXOaj8PK2l7WJ3RER9xtqwdhxkhw/edit?usp=sharing"",""อ่างทอง!I214"")"),0)</f>
        <v>0</v>
      </c>
      <c r="J309" s="334">
        <f ca="1">IFERROR(__xludf.DUMMYFUNCTION("IMPORTRANGE(""https://docs.google.com/spreadsheets/d/1SX6NBoVAgQJ6U1MVXOaj8PK2l7WJ3RER9xtqwdhxkhw/edit?usp=sharing"",""อ่างทอง!J214"")"),0)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IFERROR(__xludf.DUMMYFUNCTION("IMPORTRANGE(""https://docs.google.com/spreadsheets/d/1Yj_ptqi66GCucihVvJfMjLAmec39IyEx_6qawtMGysU/edit?usp=sharing"",""สบก!DC79"")"),0)</f>
        <v>0</v>
      </c>
      <c r="N314" s="169">
        <f ca="1">IFERROR(__xludf.DUMMYFUNCTION("IMPORTRANGE(""https://docs.google.com/spreadsheets/d/1Yj_ptqi66GCucihVvJfMjLAmec39IyEx_6qawtMGysU/edit?usp=sharing"",""สบก!DD79"")"),0)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IFERROR(__xludf.DUMMYFUNCTION("IMPORTRANGE(""https://docs.google.com/spreadsheets/d/1SX6NBoVAgQJ6U1MVXOaj8PK2l7WJ3RER9xtqwdhxkhw/edit?usp=sharing"",""อ่างทอง!J220"")"),0)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IFERROR(__xludf.DUMMYFUNCTION("IMPORTRANGE(""https://docs.google.com/spreadsheets/d/1SX6NBoVAgQJ6U1MVXOaj8PK2l7WJ3RER9xtqwdhxkhw/edit?usp=sharing"",""อ่างทอง!J221"")"),0)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IFERROR(__xludf.DUMMYFUNCTION("IMPORTRANGE(""https://docs.google.com/spreadsheets/d/1SX6NBoVAgQJ6U1MVXOaj8PK2l7WJ3RER9xtqwdhxkhw/edit?usp=sharing"",""อ่างทอง!J222"")"),0)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IFERROR(__xludf.DUMMYFUNCTION("IMPORTRANGE(""https://docs.google.com/spreadsheets/d/1SX6NBoVAgQJ6U1MVXOaj8PK2l7WJ3RER9xtqwdhxkhw/edit?usp=sharing"",""อ่างทอง!J223"")"),0)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IFERROR(__xludf.DUMMYFUNCTION("IMPORTRANGE(""https://docs.google.com/spreadsheets/d/1SX6NBoVAgQJ6U1MVXOaj8PK2l7WJ3RER9xtqwdhxkhw/edit?usp=sharing"",""อ่างทอง!I224"")"),0)</f>
        <v>0</v>
      </c>
      <c r="J324" s="204">
        <f ca="1">IFERROR(__xludf.DUMMYFUNCTION("IMPORTRANGE(""https://docs.google.com/spreadsheets/d/1SX6NBoVAgQJ6U1MVXOaj8PK2l7WJ3RER9xtqwdhxkhw/edit?usp=sharing"",""อ่างทอง!J224"")"),0)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IFERROR(__xludf.DUMMYFUNCTION("IMPORTRANGE(""https://docs.google.com/spreadsheets/d/1SX6NBoVAgQJ6U1MVXOaj8PK2l7WJ3RER9xtqwdhxkhw/edit?usp=sharing"",""อ่างทอง!J225"")"),0)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IFERROR(__xludf.DUMMYFUNCTION("IMPORTRANGE(""https://docs.google.com/spreadsheets/d/1SX6NBoVAgQJ6U1MVXOaj8PK2l7WJ3RER9xtqwdhxkhw/edit?usp=sharing"",""อ่างทอง!J226"")"),0)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IFERROR(__xludf.DUMMYFUNCTION("IMPORTRANGE(""https://docs.google.com/spreadsheets/d/1SX6NBoVAgQJ6U1MVXOaj8PK2l7WJ3RER9xtqwdhxkhw/edit?usp=sharing"",""อ่างทอง!I228"")"),0)</f>
        <v>0</v>
      </c>
      <c r="J328" s="340">
        <f ca="1">IFERROR(__xludf.DUMMYFUNCTION("IMPORTRANGE(""https://docs.google.com/spreadsheets/d/1SX6NBoVAgQJ6U1MVXOaj8PK2l7WJ3RER9xtqwdhxkhw/edit?usp=sharing"",""อ่างทอง!J228"")"),0)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680910</v>
      </c>
      <c r="M329" s="152">
        <f t="shared" ca="1" si="98"/>
        <v>535360</v>
      </c>
      <c r="N329" s="152">
        <f t="shared" ca="1" si="98"/>
        <v>478251</v>
      </c>
      <c r="O329" s="151">
        <f t="shared" ref="O329:O331" ca="1" si="99">IF(L329&gt;0,N329*100/L329,0)</f>
        <v>70.237035731594489</v>
      </c>
      <c r="P329" s="151">
        <f t="shared" ref="P329:P331" ca="1" si="100">IF(M329&gt;0,N329*100/M329,0)</f>
        <v>89.332598625224151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680910</v>
      </c>
      <c r="M331" s="157">
        <f t="shared" ca="1" si="102"/>
        <v>535360</v>
      </c>
      <c r="N331" s="157">
        <f t="shared" ca="1" si="102"/>
        <v>478251</v>
      </c>
      <c r="O331" s="156">
        <f t="shared" ca="1" si="99"/>
        <v>70.237035731594489</v>
      </c>
      <c r="P331" s="156">
        <f t="shared" ca="1" si="100"/>
        <v>89.332598625224151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541910</v>
      </c>
      <c r="M333" s="168">
        <f ca="1">IFERROR(__xludf.DUMMYFUNCTION("IMPORTRANGE(""https://docs.google.com/spreadsheets/d/1Yj_ptqi66GCucihVvJfMjLAmec39IyEx_6qawtMGysU/edit?usp=sharing"",""สบก!DL79"")"),396360)</f>
        <v>396360</v>
      </c>
      <c r="N333" s="169">
        <f ca="1">IFERROR(__xludf.DUMMYFUNCTION("IMPORTRANGE(""https://docs.google.com/spreadsheets/d/1Yj_ptqi66GCucihVvJfMjLAmec39IyEx_6qawtMGysU/edit?usp=sharing"",""สบก!DM79"")"),339251)</f>
        <v>339251</v>
      </c>
      <c r="O333" s="169">
        <f ca="1">IF(L333&gt;0,N333*100/L333,0)</f>
        <v>62.602830728349723</v>
      </c>
      <c r="P333" s="169">
        <f ca="1">IF(M333&gt;0,N333*100/M333,0)</f>
        <v>85.591633868200631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IFERROR(__xludf.DUMMYFUNCTION("IMPORTRANGE(""https://docs.google.com/spreadsheets/d/1Yj_ptqi66GCucihVvJfMjLAmec39IyEx_6qawtMGysU/edit?usp=sharing"",""สบก!DH79"")"),493800)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IFERROR(__xludf.DUMMYFUNCTION("IMPORTRANGE(""https://docs.google.com/spreadsheets/d/1Yj_ptqi66GCucihVvJfMjLAmec39IyEx_6qawtMGysU/edit?usp=sharing"",""สบก!DI79"")"),48110)</f>
        <v>48110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IFERROR(__xludf.DUMMYFUNCTION("IMPORTRANGE(""https://docs.google.com/spreadsheets/d/1Yj_ptqi66GCucihVvJfMjLAmec39IyEx_6qawtMGysU/edit?usp=sharing"",""สบก!DJ79"")"),139000)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100</v>
      </c>
      <c r="P337" s="16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IFERROR(__xludf.DUMMYFUNCTION("IMPORTRANGE(""https://docs.google.com/spreadsheets/d/1SX6NBoVAgQJ6U1MVXOaj8PK2l7WJ3RER9xtqwdhxkhw/edit?usp=sharing"",""อ่างทอง!I234"")"),0)</f>
        <v>0</v>
      </c>
      <c r="J339" s="188">
        <f ca="1">IFERROR(__xludf.DUMMYFUNCTION("IMPORTRANGE(""https://docs.google.com/spreadsheets/d/1SX6NBoVAgQJ6U1MVXOaj8PK2l7WJ3RER9xtqwdhxkhw/edit?usp=sharing"",""อ่างทอง!J234"")"),0)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IFERROR(__xludf.DUMMYFUNCTION("IMPORTRANGE(""https://docs.google.com/spreadsheets/d/1SX6NBoVAgQJ6U1MVXOaj8PK2l7WJ3RER9xtqwdhxkhw/edit?usp=sharing"",""อ่างทอง!I235"")"),0)</f>
        <v>0</v>
      </c>
      <c r="J340" s="188">
        <f ca="1">IFERROR(__xludf.DUMMYFUNCTION("IMPORTRANGE(""https://docs.google.com/spreadsheets/d/1SX6NBoVAgQJ6U1MVXOaj8PK2l7WJ3RER9xtqwdhxkhw/edit?usp=sharing"",""อ่างทอง!J235"")"),0)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IFERROR(__xludf.DUMMYFUNCTION("IMPORTRANGE(""https://docs.google.com/spreadsheets/d/1SX6NBoVAgQJ6U1MVXOaj8PK2l7WJ3RER9xtqwdhxkhw/edit?usp=sharing"",""อ่างทอง!I236"")"),0)</f>
        <v>0</v>
      </c>
      <c r="J341" s="188">
        <f ca="1">IFERROR(__xludf.DUMMYFUNCTION("IMPORTRANGE(""https://docs.google.com/spreadsheets/d/1SX6NBoVAgQJ6U1MVXOaj8PK2l7WJ3RER9xtqwdhxkhw/edit?usp=sharing"",""อ่างทอง!J236"")"),0)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8">
        <f ca="1">IFERROR(__xludf.DUMMYFUNCTION("IMPORTRANGE(""https://docs.google.com/spreadsheets/d/1SX6NBoVAgQJ6U1MVXOaj8PK2l7WJ3RER9xtqwdhxkhw/edit?usp=sharing"",""อ่างทอง!J237"")"),0)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IFERROR(__xludf.DUMMYFUNCTION("IMPORTRANGE(""https://docs.google.com/spreadsheets/d/1SX6NBoVAgQJ6U1MVXOaj8PK2l7WJ3RER9xtqwdhxkhw/edit?usp=sharing"",""อ่างทอง!I238"")"),0)</f>
        <v>0</v>
      </c>
      <c r="J343" s="188">
        <f ca="1">IFERROR(__xludf.DUMMYFUNCTION("IMPORTRANGE(""https://docs.google.com/spreadsheets/d/1SX6NBoVAgQJ6U1MVXOaj8PK2l7WJ3RER9xtqwdhxkhw/edit?usp=sharing"",""อ่างทอง!J238"")"),0)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8">
        <f ca="1">IFERROR(__xludf.DUMMYFUNCTION("IMPORTRANGE(""https://docs.google.com/spreadsheets/d/1SX6NBoVAgQJ6U1MVXOaj8PK2l7WJ3RER9xtqwdhxkhw/edit?usp=sharing"",""อ่างทอง!J239"")"),0)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IFERROR(__xludf.DUMMYFUNCTION("IMPORTRANGE(""https://docs.google.com/spreadsheets/d/1SX6NBoVAgQJ6U1MVXOaj8PK2l7WJ3RER9xtqwdhxkhw/edit?usp=sharing"",""อ่างทอง!I240"")"),0)</f>
        <v>0</v>
      </c>
      <c r="J345" s="188">
        <f ca="1">IFERROR(__xludf.DUMMYFUNCTION("IMPORTRANGE(""https://docs.google.com/spreadsheets/d/1SX6NBoVAgQJ6U1MVXOaj8PK2l7WJ3RER9xtqwdhxkhw/edit?usp=sharing"",""อ่างทอง!J240"")"),0)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8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IFERROR(__xludf.DUMMYFUNCTION("IMPORTRANGE(""https://docs.google.com/spreadsheets/d/1SX6NBoVAgQJ6U1MVXOaj8PK2l7WJ3RER9xtqwdhxkhw/edit?usp=sharing"",""อ่างทอง!L242"")"),329940)</f>
        <v>329940</v>
      </c>
      <c r="M347" s="358"/>
      <c r="N347" s="358">
        <f ca="1">IFERROR(__xludf.DUMMYFUNCTION("IMPORTRANGE(""https://docs.google.com/spreadsheets/d/1SX6NBoVAgQJ6U1MVXOaj8PK2l7WJ3RER9xtqwdhxkhw/edit?usp=sharing"",""อ่างทอง!M242"")"),104753)</f>
        <v>104753</v>
      </c>
      <c r="O347" s="358">
        <f ca="1">+IF(L347&gt;0,N347*100/L347,0)</f>
        <v>31.749105898042068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IFERROR(__xludf.DUMMYFUNCTION("IMPORTRANGE(""https://docs.google.com/spreadsheets/d/1SX6NBoVAgQJ6U1MVXOaj8PK2l7WJ3RER9xtqwdhxkhw/edit?usp=sharing"",""อ่างทอง!L244"")"),69720)</f>
        <v>69720</v>
      </c>
      <c r="M349" s="373"/>
      <c r="N349" s="373">
        <f ca="1">IFERROR(__xludf.DUMMYFUNCTION("IMPORTRANGE(""https://docs.google.com/spreadsheets/d/1SX6NBoVAgQJ6U1MVXOaj8PK2l7WJ3RER9xtqwdhxkhw/edit?usp=sharing"",""อ่างทอง!M244"")"),30280)</f>
        <v>30280</v>
      </c>
      <c r="O349" s="373">
        <f ca="1">+IF(L349&gt;0,N349*100/L349,0)</f>
        <v>43.430866322432585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IFERROR(__xludf.DUMMYFUNCTION("IMPORTRANGE(""https://docs.google.com/spreadsheets/d/1SX6NBoVAgQJ6U1MVXOaj8PK2l7WJ3RER9xtqwdhxkhw/edit?usp=sharing"",""อ่างทอง!L246"")"),0)</f>
        <v>0</v>
      </c>
      <c r="M351" s="164"/>
      <c r="N351" s="164">
        <f ca="1">IFERROR(__xludf.DUMMYFUNCTION("IMPORTRANGE(""https://docs.google.com/spreadsheets/d/1SX6NBoVAgQJ6U1MVXOaj8PK2l7WJ3RER9xtqwdhxkhw/edit?usp=sharing"",""อ่างทอง!M246"")"),0)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IFERROR(__xludf.DUMMYFUNCTION("IMPORTRANGE(""https://docs.google.com/spreadsheets/d/1SX6NBoVAgQJ6U1MVXOaj8PK2l7WJ3RER9xtqwdhxkhw/edit?usp=sharing"",""อ่างทอง!L247"")"),69720)</f>
        <v>69720</v>
      </c>
      <c r="M352" s="165"/>
      <c r="N352" s="164">
        <f ca="1">IFERROR(__xludf.DUMMYFUNCTION("IMPORTRANGE(""https://docs.google.com/spreadsheets/d/1SX6NBoVAgQJ6U1MVXOaj8PK2l7WJ3RER9xtqwdhxkhw/edit?usp=sharing"",""อ่างทอง!M247"")"),30280)</f>
        <v>30280</v>
      </c>
      <c r="O352" s="165">
        <f t="shared" ca="1" si="105"/>
        <v>43.430866322432585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IFERROR(__xludf.DUMMYFUNCTION("IMPORTRANGE(""https://docs.google.com/spreadsheets/d/1SX6NBoVAgQJ6U1MVXOaj8PK2l7WJ3RER9xtqwdhxkhw/edit?usp=sharing"",""อ่างทอง!L248"")"),0)</f>
        <v>0</v>
      </c>
      <c r="M353" s="169"/>
      <c r="N353" s="169">
        <f ca="1">IFERROR(__xludf.DUMMYFUNCTION("IMPORTRANGE(""https://docs.google.com/spreadsheets/d/1SX6NBoVAgQJ6U1MVXOaj8PK2l7WJ3RER9xtqwdhxkhw/edit?usp=sharing"",""อ่างทอง!M248"")"),0)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IFERROR(__xludf.DUMMYFUNCTION("IMPORTRANGE(""https://docs.google.com/spreadsheets/d/1SX6NBoVAgQJ6U1MVXOaj8PK2l7WJ3RER9xtqwdhxkhw/edit?usp=sharing"",""อ่างทอง!L249"")"),69720)</f>
        <v>69720</v>
      </c>
      <c r="M354" s="169"/>
      <c r="N354" s="168">
        <f ca="1">IFERROR(__xludf.DUMMYFUNCTION("IMPORTRANGE(""https://docs.google.com/spreadsheets/d/1SX6NBoVAgQJ6U1MVXOaj8PK2l7WJ3RER9xtqwdhxkhw/edit?usp=sharing"",""อ่างทอง!M249"")"),30280)</f>
        <v>30280</v>
      </c>
      <c r="O354" s="169">
        <f t="shared" ca="1" si="105"/>
        <v>43.430866322432585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IFERROR(__xludf.DUMMYFUNCTION("IMPORTRANGE(""https://docs.google.com/spreadsheets/d/1SX6NBoVAgQJ6U1MVXOaj8PK2l7WJ3RER9xtqwdhxkhw/edit?usp=sharing"",""อ่างทอง!M250"")"),12280)</f>
        <v>12280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IFERROR(__xludf.DUMMYFUNCTION("IMPORTRANGE(""https://docs.google.com/spreadsheets/d/1SX6NBoVAgQJ6U1MVXOaj8PK2l7WJ3RER9xtqwdhxkhw/edit?usp=sharing"",""อ่างทอง!M251"")"),18000)</f>
        <v>18000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IFERROR(__xludf.DUMMYFUNCTION("IMPORTRANGE(""https://docs.google.com/spreadsheets/d/1SX6NBoVAgQJ6U1MVXOaj8PK2l7WJ3RER9xtqwdhxkhw/edit?usp=sharing"",""อ่างทอง!J255"")"),0)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IFERROR(__xludf.DUMMYFUNCTION("IMPORTRANGE(""https://docs.google.com/spreadsheets/d/1SX6NBoVAgQJ6U1MVXOaj8PK2l7WJ3RER9xtqwdhxkhw/edit?usp=sharing"",""อ่างทอง!J256"")"),1)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IFERROR(__xludf.DUMMYFUNCTION("IMPORTRANGE(""https://docs.google.com/spreadsheets/d/1SX6NBoVAgQJ6U1MVXOaj8PK2l7WJ3RER9xtqwdhxkhw/edit?usp=sharing"",""อ่างทอง!J257"")"),1)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IFERROR(__xludf.DUMMYFUNCTION("IMPORTRANGE(""https://docs.google.com/spreadsheets/d/1SX6NBoVAgQJ6U1MVXOaj8PK2l7WJ3RER9xtqwdhxkhw/edit?usp=sharing"",""อ่างทอง!J258"")"),1)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IFERROR(__xludf.DUMMYFUNCTION("IMPORTRANGE(""https://docs.google.com/spreadsheets/d/1SX6NBoVAgQJ6U1MVXOaj8PK2l7WJ3RER9xtqwdhxkhw/edit?usp=sharing"",""อ่างทอง!J166"")"),0)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IFERROR(__xludf.DUMMYFUNCTION("IMPORTRANGE(""https://docs.google.com/spreadsheets/d/1SX6NBoVAgQJ6U1MVXOaj8PK2l7WJ3RER9xtqwdhxkhw/edit?usp=sharing"",""อ่างทอง!J166"")"),0)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IFERROR(__xludf.DUMMYFUNCTION("IMPORTRANGE(""https://docs.google.com/spreadsheets/d/1SX6NBoVAgQJ6U1MVXOaj8PK2l7WJ3RER9xtqwdhxkhw/edit?usp=sharing"",""อ่างทอง!J166"")"),0)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IFERROR(__xludf.DUMMYFUNCTION("IMPORTRANGE(""https://docs.google.com/spreadsheets/d/1SX6NBoVAgQJ6U1MVXOaj8PK2l7WJ3RER9xtqwdhxkhw/edit?usp=sharing"",""อ่างทอง!J166"")"),0)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IFERROR(__xludf.DUMMYFUNCTION("IMPORTRANGE(""https://docs.google.com/spreadsheets/d/1SX6NBoVAgQJ6U1MVXOaj8PK2l7WJ3RER9xtqwdhxkhw/edit?usp=sharing"",""อ่างทอง!I263"")"),10)</f>
        <v>10</v>
      </c>
      <c r="J368" s="188">
        <f ca="1">IFERROR(__xludf.DUMMYFUNCTION("IMPORTRANGE(""https://docs.google.com/spreadsheets/d/1SX6NBoVAgQJ6U1MVXOaj8PK2l7WJ3RER9xtqwdhxkhw/edit?usp=sharing"",""อ่างทอง!J263"")"),10)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IFERROR(__xludf.DUMMYFUNCTION("IMPORTRANGE(""https://docs.google.com/spreadsheets/d/1SX6NBoVAgQJ6U1MVXOaj8PK2l7WJ3RER9xtqwdhxkhw/edit?usp=sharing"",""อ่างทอง!I164"")"),0)</f>
        <v>0</v>
      </c>
      <c r="J369" s="204">
        <f ca="1">IFERROR(__xludf.DUMMYFUNCTION("IMPORTRANGE(""https://docs.google.com/spreadsheets/d/1SX6NBoVAgQJ6U1MVXOaj8PK2l7WJ3RER9xtqwdhxkhw/edit?usp=sharing"",""อ่างทอง!J164"")"),0)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IFERROR(__xludf.DUMMYFUNCTION("IMPORTRANGE(""https://docs.google.com/spreadsheets/d/1SX6NBoVAgQJ6U1MVXOaj8PK2l7WJ3RER9xtqwdhxkhw/edit?usp=sharing"",""อ่างทอง!I265"")"),10)</f>
        <v>10</v>
      </c>
      <c r="J370" s="204">
        <f ca="1">IFERROR(__xludf.DUMMYFUNCTION("IMPORTRANGE(""https://docs.google.com/spreadsheets/d/1SX6NBoVAgQJ6U1MVXOaj8PK2l7WJ3RER9xtqwdhxkhw/edit?usp=sharing"",""อ่างทอง!J265"")"),10)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IFERROR(__xludf.DUMMYFUNCTION("IMPORTRANGE(""https://docs.google.com/spreadsheets/d/1SX6NBoVAgQJ6U1MVXOaj8PK2l7WJ3RER9xtqwdhxkhw/edit?usp=sharing"",""อ่างทอง!I164"")"),0)</f>
        <v>0</v>
      </c>
      <c r="J371" s="189">
        <f ca="1">IFERROR(__xludf.DUMMYFUNCTION("IMPORTRANGE(""https://docs.google.com/spreadsheets/d/1SX6NBoVAgQJ6U1MVXOaj8PK2l7WJ3RER9xtqwdhxkhw/edit?usp=sharing"",""อ่างทอง!J164"")"),0)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IFERROR(__xludf.DUMMYFUNCTION("IMPORTRANGE(""https://docs.google.com/spreadsheets/d/1SX6NBoVAgQJ6U1MVXOaj8PK2l7WJ3RER9xtqwdhxkhw/edit?usp=sharing"",""อ่างทอง!I267"")"),10)</f>
        <v>10</v>
      </c>
      <c r="J372" s="189">
        <f ca="1">IFERROR(__xludf.DUMMYFUNCTION("IMPORTRANGE(""https://docs.google.com/spreadsheets/d/1SX6NBoVAgQJ6U1MVXOaj8PK2l7WJ3RER9xtqwdhxkhw/edit?usp=sharing"",""อ่างทอง!J267"")"),0)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IFERROR(__xludf.DUMMYFUNCTION("IMPORTRANGE(""https://docs.google.com/spreadsheets/d/1SX6NBoVAgQJ6U1MVXOaj8PK2l7WJ3RER9xtqwdhxkhw/edit?usp=sharing"",""อ่างทอง!I164"")"),0)</f>
        <v>0</v>
      </c>
      <c r="J373" s="204">
        <f ca="1">IFERROR(__xludf.DUMMYFUNCTION("IMPORTRANGE(""https://docs.google.com/spreadsheets/d/1SX6NBoVAgQJ6U1MVXOaj8PK2l7WJ3RER9xtqwdhxkhw/edit?usp=sharing"",""อ่างทอง!J164"")"),0)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IFERROR(__xludf.DUMMYFUNCTION("IMPORTRANGE(""https://docs.google.com/spreadsheets/d/1SX6NBoVAgQJ6U1MVXOaj8PK2l7WJ3RER9xtqwdhxkhw/edit?usp=sharing"",""อ่างทอง!I164"")"),0)</f>
        <v>0</v>
      </c>
      <c r="J374" s="188">
        <f ca="1">IFERROR(__xludf.DUMMYFUNCTION("IMPORTRANGE(""https://docs.google.com/spreadsheets/d/1SX6NBoVAgQJ6U1MVXOaj8PK2l7WJ3RER9xtqwdhxkhw/edit?usp=sharing"",""อ่างทอง!J164"")"),0)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IFERROR(__xludf.DUMMYFUNCTION("IMPORTRANGE(""https://docs.google.com/spreadsheets/d/1SX6NBoVAgQJ6U1MVXOaj8PK2l7WJ3RER9xtqwdhxkhw/edit?usp=sharing"",""อ่างทอง!I270"")"),30)</f>
        <v>30</v>
      </c>
      <c r="J375" s="188">
        <f ca="1">IFERROR(__xludf.DUMMYFUNCTION("IMPORTRANGE(""https://docs.google.com/spreadsheets/d/1SX6NBoVAgQJ6U1MVXOaj8PK2l7WJ3RER9xtqwdhxkhw/edit?usp=sharing"",""อ่างทอง!J270"")"),0)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IFERROR(__xludf.DUMMYFUNCTION("IMPORTRANGE(""https://docs.google.com/spreadsheets/d/1SX6NBoVAgQJ6U1MVXOaj8PK2l7WJ3RER9xtqwdhxkhw/edit?usp=sharing"",""อ่างทอง!I271"")"),30)</f>
        <v>30</v>
      </c>
      <c r="J376" s="189">
        <f ca="1">IFERROR(__xludf.DUMMYFUNCTION("IMPORTRANGE(""https://docs.google.com/spreadsheets/d/1SX6NBoVAgQJ6U1MVXOaj8PK2l7WJ3RER9xtqwdhxkhw/edit?usp=sharing"",""อ่างทอง!J271"")"),0)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IFERROR(__xludf.DUMMYFUNCTION("IMPORTRANGE(""https://docs.google.com/spreadsheets/d/1SX6NBoVAgQJ6U1MVXOaj8PK2l7WJ3RER9xtqwdhxkhw/edit?usp=sharing"",""อ่างทอง!I272"")"),0)</f>
        <v>0</v>
      </c>
      <c r="J377" s="204">
        <f ca="1">IFERROR(__xludf.DUMMYFUNCTION("IMPORTRANGE(""https://docs.google.com/spreadsheets/d/1SX6NBoVAgQJ6U1MVXOaj8PK2l7WJ3RER9xtqwdhxkhw/edit?usp=sharing"",""อ่างทอง!J272"")"),0)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IFERROR(__xludf.DUMMYFUNCTION("IMPORTRANGE(""https://docs.google.com/spreadsheets/d/1SX6NBoVAgQJ6U1MVXOaj8PK2l7WJ3RER9xtqwdhxkhw/edit?usp=sharing"",""อ่างทอง!J273"")"),0)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IFERROR(__xludf.DUMMYFUNCTION("IMPORTRANGE(""https://docs.google.com/spreadsheets/d/1SX6NBoVAgQJ6U1MVXOaj8PK2l7WJ3RER9xtqwdhxkhw/edit?usp=sharing"",""อ่างทอง!J274"")"),0)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IFERROR(__xludf.DUMMYFUNCTION("IMPORTRANGE(""https://docs.google.com/spreadsheets/d/1SX6NBoVAgQJ6U1MVXOaj8PK2l7WJ3RER9xtqwdhxkhw/edit?usp=sharing"",""อ่างทอง!L277"")"),0)</f>
        <v>0</v>
      </c>
      <c r="M382" s="164"/>
      <c r="N382" s="164">
        <f ca="1">IFERROR(__xludf.DUMMYFUNCTION("IMPORTRANGE(""https://docs.google.com/spreadsheets/d/1SX6NBoVAgQJ6U1MVXOaj8PK2l7WJ3RER9xtqwdhxkhw/edit?usp=sharing"",""อ่างทอง!M277"")"),0)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IFERROR(__xludf.DUMMYFUNCTION("IMPORTRANGE(""https://docs.google.com/spreadsheets/d/1SX6NBoVAgQJ6U1MVXOaj8PK2l7WJ3RER9xtqwdhxkhw/edit?usp=sharing"",""อ่างทอง!L278"")"),0)</f>
        <v>0</v>
      </c>
      <c r="M383" s="165"/>
      <c r="N383" s="165">
        <f ca="1">IFERROR(__xludf.DUMMYFUNCTION("IMPORTRANGE(""https://docs.google.com/spreadsheets/d/1SX6NBoVAgQJ6U1MVXOaj8PK2l7WJ3RER9xtqwdhxkhw/edit?usp=sharing"",""อ่างทอง!M278"")"),0)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IFERROR(__xludf.DUMMYFUNCTION("IMPORTRANGE(""https://docs.google.com/spreadsheets/d/1SX6NBoVAgQJ6U1MVXOaj8PK2l7WJ3RER9xtqwdhxkhw/edit?usp=sharing"",""อ่างทอง!L279"")"),0)</f>
        <v>0</v>
      </c>
      <c r="M384" s="169"/>
      <c r="N384" s="169">
        <f ca="1">IFERROR(__xludf.DUMMYFUNCTION("IMPORTRANGE(""https://docs.google.com/spreadsheets/d/1SX6NBoVAgQJ6U1MVXOaj8PK2l7WJ3RER9xtqwdhxkhw/edit?usp=sharing"",""อ่างทอง!M279"")"),0)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IFERROR(__xludf.DUMMYFUNCTION("IMPORTRANGE(""https://docs.google.com/spreadsheets/d/1SX6NBoVAgQJ6U1MVXOaj8PK2l7WJ3RER9xtqwdhxkhw/edit?usp=sharing"",""อ่างทอง!L280"")"),0)</f>
        <v>0</v>
      </c>
      <c r="M385" s="169"/>
      <c r="N385" s="168">
        <f ca="1">IFERROR(__xludf.DUMMYFUNCTION("IMPORTRANGE(""https://docs.google.com/spreadsheets/d/1SX6NBoVAgQJ6U1MVXOaj8PK2l7WJ3RER9xtqwdhxkhw/edit?usp=sharing"",""อ่างทอง!M280"")"),0)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IFERROR(__xludf.DUMMYFUNCTION("IMPORTRANGE(""https://docs.google.com/spreadsheets/d/1SX6NBoVAgQJ6U1MVXOaj8PK2l7WJ3RER9xtqwdhxkhw/edit?usp=sharing"",""อ่างทอง!J286"")"),0)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IFERROR(__xludf.DUMMYFUNCTION("IMPORTRANGE(""https://docs.google.com/spreadsheets/d/1SX6NBoVAgQJ6U1MVXOaj8PK2l7WJ3RER9xtqwdhxkhw/edit?usp=sharing"",""อ่างทอง!J287"")"),0)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IFERROR(__xludf.DUMMYFUNCTION("IMPORTRANGE(""https://docs.google.com/spreadsheets/d/1SX6NBoVAgQJ6U1MVXOaj8PK2l7WJ3RER9xtqwdhxkhw/edit?usp=sharing"",""อ่างทอง!J288"")"),0)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IFERROR(__xludf.DUMMYFUNCTION("IMPORTRANGE(""https://docs.google.com/spreadsheets/d/1SX6NBoVAgQJ6U1MVXOaj8PK2l7WJ3RER9xtqwdhxkhw/edit?usp=sharing"",""อ่างทอง!J289"")"),0)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IFERROR(__xludf.DUMMYFUNCTION("IMPORTRANGE(""https://docs.google.com/spreadsheets/d/1SX6NBoVAgQJ6U1MVXOaj8PK2l7WJ3RER9xtqwdhxkhw/edit?usp=sharing"",""อ่างทอง!I291"")"),0)</f>
        <v>0</v>
      </c>
      <c r="J396" s="198">
        <f ca="1">IFERROR(__xludf.DUMMYFUNCTION("IMPORTRANGE(""https://docs.google.com/spreadsheets/d/1SX6NBoVAgQJ6U1MVXOaj8PK2l7WJ3RER9xtqwdhxkhw/edit?usp=sharing"",""อ่างทอง!J291"")"),0)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IFERROR(__xludf.DUMMYFUNCTION("IMPORTRANGE(""https://docs.google.com/spreadsheets/d/1SX6NBoVAgQJ6U1MVXOaj8PK2l7WJ3RER9xtqwdhxkhw/edit?usp=sharing"",""อ่างทอง!I292"")"),0)</f>
        <v>0</v>
      </c>
      <c r="J397" s="198">
        <f ca="1">IFERROR(__xludf.DUMMYFUNCTION("IMPORTRANGE(""https://docs.google.com/spreadsheets/d/1SX6NBoVAgQJ6U1MVXOaj8PK2l7WJ3RER9xtqwdhxkhw/edit?usp=sharing"",""อ่างทอง!J292"")"),0)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IFERROR(__xludf.DUMMYFUNCTION("IMPORTRANGE(""https://docs.google.com/spreadsheets/d/1SX6NBoVAgQJ6U1MVXOaj8PK2l7WJ3RER9xtqwdhxkhw/edit?usp=sharing"",""อ่างทอง!I293"")"),0)</f>
        <v>0</v>
      </c>
      <c r="J398" s="198">
        <f ca="1">IFERROR(__xludf.DUMMYFUNCTION("IMPORTRANGE(""https://docs.google.com/spreadsheets/d/1SX6NBoVAgQJ6U1MVXOaj8PK2l7WJ3RER9xtqwdhxkhw/edit?usp=sharing"",""อ่างทอง!J293"")"),0)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IFERROR(__xludf.DUMMYFUNCTION("IMPORTRANGE(""https://docs.google.com/spreadsheets/d/1SX6NBoVAgQJ6U1MVXOaj8PK2l7WJ3RER9xtqwdhxkhw/edit?usp=sharing"",""อ่างทอง!J294"")"),0)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IFERROR(__xludf.DUMMYFUNCTION("IMPORTRANGE(""https://docs.google.com/spreadsheets/d/1SX6NBoVAgQJ6U1MVXOaj8PK2l7WJ3RER9xtqwdhxkhw/edit?usp=sharing"",""อ่างทอง!J295"")"),0)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IFERROR(__xludf.DUMMYFUNCTION("IMPORTRANGE(""https://docs.google.com/spreadsheets/d/1SX6NBoVAgQJ6U1MVXOaj8PK2l7WJ3RER9xtqwdhxkhw/edit?usp=sharing"",""อ่างทอง!M296"")"),10931)</f>
        <v>10931</v>
      </c>
      <c r="O401" s="373">
        <f ca="1">+IF(L401&gt;0,N401*100/L401,0)</f>
        <v>34.767811704834607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IFERROR(__xludf.DUMMYFUNCTION("IMPORTRANGE(""https://docs.google.com/spreadsheets/d/1SX6NBoVAgQJ6U1MVXOaj8PK2l7WJ3RER9xtqwdhxkhw/edit?usp=sharing"",""อ่างทอง!L298"")"),0)</f>
        <v>0</v>
      </c>
      <c r="M403" s="164"/>
      <c r="N403" s="169">
        <f ca="1">IFERROR(__xludf.DUMMYFUNCTION("IMPORTRANGE(""https://docs.google.com/spreadsheets/d/1SX6NBoVAgQJ6U1MVXOaj8PK2l7WJ3RER9xtqwdhxkhw/edit?usp=sharing"",""อ่างทอง!M298"")"),0)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IFERROR(__xludf.DUMMYFUNCTION("IMPORTRANGE(""https://docs.google.com/spreadsheets/d/1SX6NBoVAgQJ6U1MVXOaj8PK2l7WJ3RER9xtqwdhxkhw/edit?usp=sharing"",""อ่างทอง!L299"")"),31440)</f>
        <v>31440</v>
      </c>
      <c r="M404" s="165"/>
      <c r="N404" s="169">
        <f ca="1">IFERROR(__xludf.DUMMYFUNCTION("IMPORTRANGE(""https://docs.google.com/spreadsheets/d/1SX6NBoVAgQJ6U1MVXOaj8PK2l7WJ3RER9xtqwdhxkhw/edit?usp=sharing"",""อ่างทอง!M299"")"),10931)</f>
        <v>10931</v>
      </c>
      <c r="O404" s="169">
        <f t="shared" ca="1" si="112"/>
        <v>34.767811704834607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IFERROR(__xludf.DUMMYFUNCTION("IMPORTRANGE(""https://docs.google.com/spreadsheets/d/1SX6NBoVAgQJ6U1MVXOaj8PK2l7WJ3RER9xtqwdhxkhw/edit?usp=sharing"",""อ่างทอง!L300"")"),0)</f>
        <v>0</v>
      </c>
      <c r="M405" s="169"/>
      <c r="N405" s="169">
        <f ca="1">IFERROR(__xludf.DUMMYFUNCTION("IMPORTRANGE(""https://docs.google.com/spreadsheets/d/1SX6NBoVAgQJ6U1MVXOaj8PK2l7WJ3RER9xtqwdhxkhw/edit?usp=sharing"",""อ่างทอง!M300"")"),0)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IFERROR(__xludf.DUMMYFUNCTION("IMPORTRANGE(""https://docs.google.com/spreadsheets/d/1SX6NBoVAgQJ6U1MVXOaj8PK2l7WJ3RER9xtqwdhxkhw/edit?usp=sharing"",""อ่างทอง!L301"")"),31440)</f>
        <v>31440</v>
      </c>
      <c r="M406" s="169"/>
      <c r="N406" s="169">
        <f ca="1">IFERROR(__xludf.DUMMYFUNCTION("IMPORTRANGE(""https://docs.google.com/spreadsheets/d/1SX6NBoVAgQJ6U1MVXOaj8PK2l7WJ3RER9xtqwdhxkhw/edit?usp=sharing"",""อ่างทอง!M301"")"),10931)</f>
        <v>10931</v>
      </c>
      <c r="O406" s="169">
        <f t="shared" ca="1" si="112"/>
        <v>34.767811704834607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IFERROR(__xludf.DUMMYFUNCTION("IMPORTRANGE(""https://docs.google.com/spreadsheets/d/1SX6NBoVAgQJ6U1MVXOaj8PK2l7WJ3RER9xtqwdhxkhw/edit?usp=sharing"",""อ่างทอง!M302"")"),10931)</f>
        <v>10931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IFERROR(__xludf.DUMMYFUNCTION("IMPORTRANGE(""https://docs.google.com/spreadsheets/d/1SX6NBoVAgQJ6U1MVXOaj8PK2l7WJ3RER9xtqwdhxkhw/edit?usp=sharing"",""อ่างทอง!M305"")"),0)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IFERROR(__xludf.DUMMYFUNCTION("IMPORTRANGE(""https://docs.google.com/spreadsheets/d/1SX6NBoVAgQJ6U1MVXOaj8PK2l7WJ3RER9xtqwdhxkhw/edit?usp=sharing"",""อ่างทอง!J307"")"),0)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IFERROR(__xludf.DUMMYFUNCTION("IMPORTRANGE(""https://docs.google.com/spreadsheets/d/1SX6NBoVAgQJ6U1MVXOaj8PK2l7WJ3RER9xtqwdhxkhw/edit?usp=sharing"",""อ่างทอง!J308"")"),1)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IFERROR(__xludf.DUMMYFUNCTION("IMPORTRANGE(""https://docs.google.com/spreadsheets/d/1SX6NBoVAgQJ6U1MVXOaj8PK2l7WJ3RER9xtqwdhxkhw/edit?usp=sharing"",""อ่างทอง!J309"")"),1)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IFERROR(__xludf.DUMMYFUNCTION("IMPORTRANGE(""https://docs.google.com/spreadsheets/d/1SX6NBoVAgQJ6U1MVXOaj8PK2l7WJ3RER9xtqwdhxkhw/edit?usp=sharing"",""อ่างทอง!J310"")"),1)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IFERROR(__xludf.DUMMYFUNCTION("IMPORTRANGE(""https://docs.google.com/spreadsheets/d/1SX6NBoVAgQJ6U1MVXOaj8PK2l7WJ3RER9xtqwdhxkhw/edit?usp=sharing"",""อ่างทอง!I311"")"),10)</f>
        <v>10</v>
      </c>
      <c r="J416" s="201">
        <f ca="1">IFERROR(__xludf.DUMMYFUNCTION("IMPORTRANGE(""https://docs.google.com/spreadsheets/d/1SX6NBoVAgQJ6U1MVXOaj8PK2l7WJ3RER9xtqwdhxkhw/edit?usp=sharing"",""อ่างทอง!J311"")"),0)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IFERROR(__xludf.DUMMYFUNCTION("IMPORTRANGE(""https://docs.google.com/spreadsheets/d/1SX6NBoVAgQJ6U1MVXOaj8PK2l7WJ3RER9xtqwdhxkhw/edit?usp=sharing"",""อ่างทอง!J323"")"),0)</f>
        <v>0</v>
      </c>
      <c r="K428" s="163">
        <f t="shared" ca="1" si="113"/>
        <v>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IFERROR(__xludf.DUMMYFUNCTION("IMPORTRANGE(""https://docs.google.com/spreadsheets/d/1SX6NBoVAgQJ6U1MVXOaj8PK2l7WJ3RER9xtqwdhxkhw/edit?usp=sharing"",""อ่างทอง!J328"")"),0)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IFERROR(__xludf.DUMMYFUNCTION("IMPORTRANGE(""https://docs.google.com/spreadsheets/d/1SX6NBoVAgQJ6U1MVXOaj8PK2l7WJ3RER9xtqwdhxkhw/edit?usp=sharing"",""อ่างทอง!J329"")"),0)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IFERROR(__xludf.DUMMYFUNCTION("IMPORTRANGE(""https://docs.google.com/spreadsheets/d/1SX6NBoVAgQJ6U1MVXOaj8PK2l7WJ3RER9xtqwdhxkhw/edit?usp=sharing"",""อ่างทอง!M330"")"),10390)</f>
        <v>10390</v>
      </c>
      <c r="O435" s="412">
        <f t="shared" ref="O435:O439" ca="1" si="114">+IF(L435&gt;0,N435*100/L435,0)</f>
        <v>13.671052631578947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IFERROR(__xludf.DUMMYFUNCTION("IMPORTRANGE(""https://docs.google.com/spreadsheets/d/1SX6NBoVAgQJ6U1MVXOaj8PK2l7WJ3RER9xtqwdhxkhw/edit?usp=sharing"",""อ่างทอง!L331"")"),0)</f>
        <v>0</v>
      </c>
      <c r="M436" s="164"/>
      <c r="N436" s="169">
        <f ca="1">IFERROR(__xludf.DUMMYFUNCTION("IMPORTRANGE(""https://docs.google.com/spreadsheets/d/1SX6NBoVAgQJ6U1MVXOaj8PK2l7WJ3RER9xtqwdhxkhw/edit?usp=sharing"",""อ่างทอง!M331"")"),0)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IFERROR(__xludf.DUMMYFUNCTION("IMPORTRANGE(""https://docs.google.com/spreadsheets/d/1SX6NBoVAgQJ6U1MVXOaj8PK2l7WJ3RER9xtqwdhxkhw/edit?usp=sharing"",""อ่างทอง!L332"")"),76000)</f>
        <v>76000</v>
      </c>
      <c r="M437" s="165"/>
      <c r="N437" s="169">
        <f ca="1">IFERROR(__xludf.DUMMYFUNCTION("IMPORTRANGE(""https://docs.google.com/spreadsheets/d/1SX6NBoVAgQJ6U1MVXOaj8PK2l7WJ3RER9xtqwdhxkhw/edit?usp=sharing"",""อ่างทอง!M332"")"),10390)</f>
        <v>10390</v>
      </c>
      <c r="O437" s="169">
        <f t="shared" ca="1" si="114"/>
        <v>13.671052631578947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IFERROR(__xludf.DUMMYFUNCTION("IMPORTRANGE(""https://docs.google.com/spreadsheets/d/1SX6NBoVAgQJ6U1MVXOaj8PK2l7WJ3RER9xtqwdhxkhw/edit?usp=sharing"",""อ่างทอง!L333"")"),0)</f>
        <v>0</v>
      </c>
      <c r="M438" s="169"/>
      <c r="N438" s="169">
        <f ca="1">IFERROR(__xludf.DUMMYFUNCTION("IMPORTRANGE(""https://docs.google.com/spreadsheets/d/1SX6NBoVAgQJ6U1MVXOaj8PK2l7WJ3RER9xtqwdhxkhw/edit?usp=sharing"",""อ่างทอง!M333"")"),0)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IFERROR(__xludf.DUMMYFUNCTION("IMPORTRANGE(""https://docs.google.com/spreadsheets/d/1SX6NBoVAgQJ6U1MVXOaj8PK2l7WJ3RER9xtqwdhxkhw/edit?usp=sharing"",""อ่างทอง!L334"")"),76000)</f>
        <v>76000</v>
      </c>
      <c r="M439" s="169"/>
      <c r="N439" s="169">
        <f ca="1">IFERROR(__xludf.DUMMYFUNCTION("IMPORTRANGE(""https://docs.google.com/spreadsheets/d/1SX6NBoVAgQJ6U1MVXOaj8PK2l7WJ3RER9xtqwdhxkhw/edit?usp=sharing"",""อ่างทอง!M334"")"),10390)</f>
        <v>10390</v>
      </c>
      <c r="O439" s="169">
        <f t="shared" ca="1" si="114"/>
        <v>13.671052631578947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IFERROR(__xludf.DUMMYFUNCTION("IMPORTRANGE(""https://docs.google.com/spreadsheets/d/1SX6NBoVAgQJ6U1MVXOaj8PK2l7WJ3RER9xtqwdhxkhw/edit?usp=sharing"",""อ่างทอง!M335"")"),10390)</f>
        <v>10390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IFERROR(__xludf.DUMMYFUNCTION("IMPORTRANGE(""https://docs.google.com/spreadsheets/d/1SX6NBoVAgQJ6U1MVXOaj8PK2l7WJ3RER9xtqwdhxkhw/edit?usp=sharing"",""อ่างทอง!J340"")"),0)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IFERROR(__xludf.DUMMYFUNCTION("IMPORTRANGE(""https://docs.google.com/spreadsheets/d/1SX6NBoVAgQJ6U1MVXOaj8PK2l7WJ3RER9xtqwdhxkhw/edit?usp=sharing"",""อ่างทอง!J342"")"),1)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IFERROR(__xludf.DUMMYFUNCTION("IMPORTRANGE(""https://docs.google.com/spreadsheets/d/1SX6NBoVAgQJ6U1MVXOaj8PK2l7WJ3RER9xtqwdhxkhw/edit?usp=sharing"",""อ่างทอง!J343"")"),1)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1">
        <f ca="1">IFERROR(__xludf.DUMMYFUNCTION("IMPORTRANGE(""https://docs.google.com/spreadsheets/d/1SX6NBoVAgQJ6U1MVXOaj8PK2l7WJ3RER9xtqwdhxkhw/edit?usp=sharing"",""อ่างทอง!J344"")"),10)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IFERROR(__xludf.DUMMYFUNCTION("IMPORTRANGE(""https://docs.google.com/spreadsheets/d/1SX6NBoVAgQJ6U1MVXOaj8PK2l7WJ3RER9xtqwdhxkhw/edit?usp=sharing"",""อ่างทอง!I345"")"),10)</f>
        <v>10</v>
      </c>
      <c r="J450" s="189">
        <f ca="1">IFERROR(__xludf.DUMMYFUNCTION("IMPORTRANGE(""https://docs.google.com/spreadsheets/d/1SX6NBoVAgQJ6U1MVXOaj8PK2l7WJ3RER9xtqwdhxkhw/edit?usp=sharing"",""อ่างทอง!J345"")"),10)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IFERROR(__xludf.DUMMYFUNCTION("IMPORTRANGE(""https://docs.google.com/spreadsheets/d/1SX6NBoVAgQJ6U1MVXOaj8PK2l7WJ3RER9xtqwdhxkhw/edit?usp=sharing"",""อ่างทอง!I346"")"),0)</f>
        <v>0</v>
      </c>
      <c r="J451" s="188">
        <f ca="1">IFERROR(__xludf.DUMMYFUNCTION("IMPORTRANGE(""https://docs.google.com/spreadsheets/d/1SX6NBoVAgQJ6U1MVXOaj8PK2l7WJ3RER9xtqwdhxkhw/edit?usp=sharing"",""อ่างทอง!J346"")"),0)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IFERROR(__xludf.DUMMYFUNCTION("IMPORTRANGE(""https://docs.google.com/spreadsheets/d/1SX6NBoVAgQJ6U1MVXOaj8PK2l7WJ3RER9xtqwdhxkhw/edit?usp=sharing"",""อ่างทอง!I347"")"),0)</f>
        <v>0</v>
      </c>
      <c r="J452" s="188">
        <f ca="1">IFERROR(__xludf.DUMMYFUNCTION("IMPORTRANGE(""https://docs.google.com/spreadsheets/d/1SX6NBoVAgQJ6U1MVXOaj8PK2l7WJ3RER9xtqwdhxkhw/edit?usp=sharing"",""อ่างทอง!J347"")"),0)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IFERROR(__xludf.DUMMYFUNCTION("IMPORTRANGE(""https://docs.google.com/spreadsheets/d/1SX6NBoVAgQJ6U1MVXOaj8PK2l7WJ3RER9xtqwdhxkhw/edit?usp=sharing"",""อ่างทอง!J348"")"),0)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IFERROR(__xludf.DUMMYFUNCTION("IMPORTRANGE(""https://docs.google.com/spreadsheets/d/1SX6NBoVAgQJ6U1MVXOaj8PK2l7WJ3RER9xtqwdhxkhw/edit?usp=sharing"",""อ่างทอง!J349"")"),0)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IFERROR(__xludf.DUMMYFUNCTION("IMPORTRANGE(""https://docs.google.com/spreadsheets/d/1SX6NBoVAgQJ6U1MVXOaj8PK2l7WJ3RER9xtqwdhxkhw/edit?usp=sharing"",""อ่างทอง!L351"")"),0)</f>
        <v>0</v>
      </c>
      <c r="M456" s="164"/>
      <c r="N456" s="169">
        <f ca="1">IFERROR(__xludf.DUMMYFUNCTION("IMPORTRANGE(""https://docs.google.com/spreadsheets/d/1SX6NBoVAgQJ6U1MVXOaj8PK2l7WJ3RER9xtqwdhxkhw/edit?usp=sharing"",""อ่างทอง!M351"")"),0)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IFERROR(__xludf.DUMMYFUNCTION("IMPORTRANGE(""https://docs.google.com/spreadsheets/d/1SX6NBoVAgQJ6U1MVXOaj8PK2l7WJ3RER9xtqwdhxkhw/edit?usp=sharing"",""อ่างทอง!L352"")"),0)</f>
        <v>0</v>
      </c>
      <c r="M457" s="165"/>
      <c r="N457" s="169">
        <f ca="1">IFERROR(__xludf.DUMMYFUNCTION("IMPORTRANGE(""https://docs.google.com/spreadsheets/d/1SX6NBoVAgQJ6U1MVXOaj8PK2l7WJ3RER9xtqwdhxkhw/edit?usp=sharing"",""อ่างทอง!M352"")"),0)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IFERROR(__xludf.DUMMYFUNCTION("IMPORTRANGE(""https://docs.google.com/spreadsheets/d/1SX6NBoVAgQJ6U1MVXOaj8PK2l7WJ3RER9xtqwdhxkhw/edit?usp=sharing"",""อ่างทอง!L353"")"),0)</f>
        <v>0</v>
      </c>
      <c r="M458" s="169"/>
      <c r="N458" s="169">
        <f ca="1">IFERROR(__xludf.DUMMYFUNCTION("IMPORTRANGE(""https://docs.google.com/spreadsheets/d/1SX6NBoVAgQJ6U1MVXOaj8PK2l7WJ3RER9xtqwdhxkhw/edit?usp=sharing"",""อ่างทอง!M353"")"),0)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IFERROR(__xludf.DUMMYFUNCTION("IMPORTRANGE(""https://docs.google.com/spreadsheets/d/1SX6NBoVAgQJ6U1MVXOaj8PK2l7WJ3RER9xtqwdhxkhw/edit?usp=sharing"",""อ่างทอง!L354"")"),0)</f>
        <v>0</v>
      </c>
      <c r="M459" s="169"/>
      <c r="N459" s="169">
        <f ca="1">IFERROR(__xludf.DUMMYFUNCTION("IMPORTRANGE(""https://docs.google.com/spreadsheets/d/1SX6NBoVAgQJ6U1MVXOaj8PK2l7WJ3RER9xtqwdhxkhw/edit?usp=sharing"",""อ่างทอง!M354"")"),0)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IFERROR(__xludf.DUMMYFUNCTION("IMPORTRANGE(""https://docs.google.com/spreadsheets/d/1SX6NBoVAgQJ6U1MVXOaj8PK2l7WJ3RER9xtqwdhxkhw/edit?usp=sharing"",""อ่างทอง!M355"")"),0)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IFERROR(__xludf.DUMMYFUNCTION("IMPORTRANGE(""https://docs.google.com/spreadsheets/d/1SX6NBoVAgQJ6U1MVXOaj8PK2l7WJ3RER9xtqwdhxkhw/edit?usp=sharing"",""อ่างทอง!M356"")"),0)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IFERROR(__xludf.DUMMYFUNCTION("IMPORTRANGE(""https://docs.google.com/spreadsheets/d/1SX6NBoVAgQJ6U1MVXOaj8PK2l7WJ3RER9xtqwdhxkhw/edit?usp=sharing"",""อ่างทอง!I359"")"),0)</f>
        <v>0</v>
      </c>
      <c r="J464" s="268">
        <f ca="1">IFERROR(__xludf.DUMMYFUNCTION("IMPORTRANGE(""https://docs.google.com/spreadsheets/d/1SX6NBoVAgQJ6U1MVXOaj8PK2l7WJ3RER9xtqwdhxkhw/edit?usp=sharing"",""อ่างทอง!J359"")"),0)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IFERROR(__xludf.DUMMYFUNCTION("IMPORTRANGE(""https://docs.google.com/spreadsheets/d/1SX6NBoVAgQJ6U1MVXOaj8PK2l7WJ3RER9xtqwdhxkhw/edit?usp=sharing"",""อ่างทอง!I362"")"),0)</f>
        <v>0</v>
      </c>
      <c r="J467" s="189">
        <f ca="1">IFERROR(__xludf.DUMMYFUNCTION("IMPORTRANGE(""https://docs.google.com/spreadsheets/d/1SX6NBoVAgQJ6U1MVXOaj8PK2l7WJ3RER9xtqwdhxkhw/edit?usp=sharing"",""อ่างทอง!J362"")"),0)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IFERROR(__xludf.DUMMYFUNCTION("IMPORTRANGE(""https://docs.google.com/spreadsheets/d/1SX6NBoVAgQJ6U1MVXOaj8PK2l7WJ3RER9xtqwdhxkhw/edit?usp=sharing"",""อ่างทอง!I363"")"),0)</f>
        <v>0</v>
      </c>
      <c r="J468" s="189">
        <f ca="1">IFERROR(__xludf.DUMMYFUNCTION("IMPORTRANGE(""https://docs.google.com/spreadsheets/d/1SX6NBoVAgQJ6U1MVXOaj8PK2l7WJ3RER9xtqwdhxkhw/edit?usp=sharing"",""อ่างทอง!J363"")"),0)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IFERROR(__xludf.DUMMYFUNCTION("IMPORTRANGE(""https://docs.google.com/spreadsheets/d/1SX6NBoVAgQJ6U1MVXOaj8PK2l7WJ3RER9xtqwdhxkhw/edit?usp=sharing"",""อ่างทอง!I364"")"),0)</f>
        <v>0</v>
      </c>
      <c r="J469" s="189">
        <f ca="1">IFERROR(__xludf.DUMMYFUNCTION("IMPORTRANGE(""https://docs.google.com/spreadsheets/d/1SX6NBoVAgQJ6U1MVXOaj8PK2l7WJ3RER9xtqwdhxkhw/edit?usp=sharing"",""อ่างทอง!J364"")"),0)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IFERROR(__xludf.DUMMYFUNCTION("IMPORTRANGE(""https://docs.google.com/spreadsheets/d/1SX6NBoVAgQJ6U1MVXOaj8PK2l7WJ3RER9xtqwdhxkhw/edit?usp=sharing"",""อ่างทอง!I365"")"),0)</f>
        <v>0</v>
      </c>
      <c r="J470" s="189">
        <f ca="1">IFERROR(__xludf.DUMMYFUNCTION("IMPORTRANGE(""https://docs.google.com/spreadsheets/d/1SX6NBoVAgQJ6U1MVXOaj8PK2l7WJ3RER9xtqwdhxkhw/edit?usp=sharing"",""อ่างทอง!J365"")"),0)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IFERROR(__xludf.DUMMYFUNCTION("IMPORTRANGE(""https://docs.google.com/spreadsheets/d/1SX6NBoVAgQJ6U1MVXOaj8PK2l7WJ3RER9xtqwdhxkhw/edit?usp=sharing"",""อ่างทอง!I366"")"),0)</f>
        <v>0</v>
      </c>
      <c r="J471" s="189">
        <f ca="1">IFERROR(__xludf.DUMMYFUNCTION("IMPORTRANGE(""https://docs.google.com/spreadsheets/d/1SX6NBoVAgQJ6U1MVXOaj8PK2l7WJ3RER9xtqwdhxkhw/edit?usp=sharing"",""อ่างทอง!J366"")"),0)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IFERROR(__xludf.DUMMYFUNCTION("IMPORTRANGE(""https://docs.google.com/spreadsheets/d/1SX6NBoVAgQJ6U1MVXOaj8PK2l7WJ3RER9xtqwdhxkhw/edit?usp=sharing"",""อ่างทอง!I367"")"),0)</f>
        <v>0</v>
      </c>
      <c r="J472" s="189">
        <f ca="1">IFERROR(__xludf.DUMMYFUNCTION("IMPORTRANGE(""https://docs.google.com/spreadsheets/d/1SX6NBoVAgQJ6U1MVXOaj8PK2l7WJ3RER9xtqwdhxkhw/edit?usp=sharing"",""อ่างทอง!J367"")"),0)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IFERROR(__xludf.DUMMYFUNCTION("IMPORTRANGE(""https://docs.google.com/spreadsheets/d/1SX6NBoVAgQJ6U1MVXOaj8PK2l7WJ3RER9xtqwdhxkhw/edit?usp=sharing"",""อ่างทอง!I370"")"),0)</f>
        <v>0</v>
      </c>
      <c r="J475" s="189">
        <f ca="1">IFERROR(__xludf.DUMMYFUNCTION("IMPORTRANGE(""https://docs.google.com/spreadsheets/d/1SX6NBoVAgQJ6U1MVXOaj8PK2l7WJ3RER9xtqwdhxkhw/edit?usp=sharing"",""อ่างทอง!J370"")"),0)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IFERROR(__xludf.DUMMYFUNCTION("IMPORTRANGE(""https://docs.google.com/spreadsheets/d/1SX6NBoVAgQJ6U1MVXOaj8PK2l7WJ3RER9xtqwdhxkhw/edit?usp=sharing"",""อ่างทอง!I371"")"),0)</f>
        <v>0</v>
      </c>
      <c r="J476" s="189">
        <f ca="1">IFERROR(__xludf.DUMMYFUNCTION("IMPORTRANGE(""https://docs.google.com/spreadsheets/d/1SX6NBoVAgQJ6U1MVXOaj8PK2l7WJ3RER9xtqwdhxkhw/edit?usp=sharing"",""อ่างทอง!J371"")"),0)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IFERROR(__xludf.DUMMYFUNCTION("IMPORTRANGE(""https://docs.google.com/spreadsheets/d/1SX6NBoVAgQJ6U1MVXOaj8PK2l7WJ3RER9xtqwdhxkhw/edit?usp=sharing"",""อ่างทอง!I372"")"),0)</f>
        <v>0</v>
      </c>
      <c r="J477" s="189">
        <f ca="1">IFERROR(__xludf.DUMMYFUNCTION("IMPORTRANGE(""https://docs.google.com/spreadsheets/d/1SX6NBoVAgQJ6U1MVXOaj8PK2l7WJ3RER9xtqwdhxkhw/edit?usp=sharing"",""อ่างทอง!J372"")"),0)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IFERROR(__xludf.DUMMYFUNCTION("IMPORTRANGE(""https://docs.google.com/spreadsheets/d/1SX6NBoVAgQJ6U1MVXOaj8PK2l7WJ3RER9xtqwdhxkhw/edit?usp=sharing"",""อ่างทอง!I373"")"),0)</f>
        <v>0</v>
      </c>
      <c r="J478" s="189">
        <f ca="1">IFERROR(__xludf.DUMMYFUNCTION("IMPORTRANGE(""https://docs.google.com/spreadsheets/d/1SX6NBoVAgQJ6U1MVXOaj8PK2l7WJ3RER9xtqwdhxkhw/edit?usp=sharing"",""อ่างทอง!J373"")"),0)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IFERROR(__xludf.DUMMYFUNCTION("IMPORTRANGE(""https://docs.google.com/spreadsheets/d/1SX6NBoVAgQJ6U1MVXOaj8PK2l7WJ3RER9xtqwdhxkhw/edit?usp=sharing"",""อ่างทอง!I374"")"),0)</f>
        <v>0</v>
      </c>
      <c r="J479" s="189">
        <f ca="1">IFERROR(__xludf.DUMMYFUNCTION("IMPORTRANGE(""https://docs.google.com/spreadsheets/d/1SX6NBoVAgQJ6U1MVXOaj8PK2l7WJ3RER9xtqwdhxkhw/edit?usp=sharing"",""อ่างทอง!J374"")"),0)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IFERROR(__xludf.DUMMYFUNCTION("IMPORTRANGE(""https://docs.google.com/spreadsheets/d/1SX6NBoVAgQJ6U1MVXOaj8PK2l7WJ3RER9xtqwdhxkhw/edit?usp=sharing"",""อ่างทอง!I375"")"),0)</f>
        <v>0</v>
      </c>
      <c r="J480" s="189">
        <f ca="1">IFERROR(__xludf.DUMMYFUNCTION("IMPORTRANGE(""https://docs.google.com/spreadsheets/d/1SX6NBoVAgQJ6U1MVXOaj8PK2l7WJ3RER9xtqwdhxkhw/edit?usp=sharing"",""อ่างทอง!J375"")"),0)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IFERROR(__xludf.DUMMYFUNCTION("IMPORTRANGE(""https://docs.google.com/spreadsheets/d/1SX6NBoVAgQJ6U1MVXOaj8PK2l7WJ3RER9xtqwdhxkhw/edit?usp=sharing"",""อ่างทอง!I378"")"),0)</f>
        <v>0</v>
      </c>
      <c r="J483" s="189">
        <f ca="1">IFERROR(__xludf.DUMMYFUNCTION("IMPORTRANGE(""https://docs.google.com/spreadsheets/d/1SX6NBoVAgQJ6U1MVXOaj8PK2l7WJ3RER9xtqwdhxkhw/edit?usp=sharing"",""อ่างทอง!J378"")"),0)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IFERROR(__xludf.DUMMYFUNCTION("IMPORTRANGE(""https://docs.google.com/spreadsheets/d/1SX6NBoVAgQJ6U1MVXOaj8PK2l7WJ3RER9xtqwdhxkhw/edit?usp=sharing"",""อ่างทอง!I379"")"),0)</f>
        <v>0</v>
      </c>
      <c r="J484" s="189">
        <f ca="1">IFERROR(__xludf.DUMMYFUNCTION("IMPORTRANGE(""https://docs.google.com/spreadsheets/d/1SX6NBoVAgQJ6U1MVXOaj8PK2l7WJ3RER9xtqwdhxkhw/edit?usp=sharing"",""อ่างทอง!J379"")"),0)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IFERROR(__xludf.DUMMYFUNCTION("IMPORTRANGE(""https://docs.google.com/spreadsheets/d/1SX6NBoVAgQJ6U1MVXOaj8PK2l7WJ3RER9xtqwdhxkhw/edit?usp=sharing"",""อ่างทอง!I380"")"),0)</f>
        <v>0</v>
      </c>
      <c r="J485" s="189">
        <f ca="1">IFERROR(__xludf.DUMMYFUNCTION("IMPORTRANGE(""https://docs.google.com/spreadsheets/d/1SX6NBoVAgQJ6U1MVXOaj8PK2l7WJ3RER9xtqwdhxkhw/edit?usp=sharing"",""อ่างทอง!J380"")"),0)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IFERROR(__xludf.DUMMYFUNCTION("IMPORTRANGE(""https://docs.google.com/spreadsheets/d/1SX6NBoVAgQJ6U1MVXOaj8PK2l7WJ3RER9xtqwdhxkhw/edit?usp=sharing"",""อ่างทอง!I381"")"),0)</f>
        <v>0</v>
      </c>
      <c r="J486" s="189">
        <f ca="1">IFERROR(__xludf.DUMMYFUNCTION("IMPORTRANGE(""https://docs.google.com/spreadsheets/d/1SX6NBoVAgQJ6U1MVXOaj8PK2l7WJ3RER9xtqwdhxkhw/edit?usp=sharing"",""อ่างทอง!J381"")"),0)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IFERROR(__xludf.DUMMYFUNCTION("IMPORTRANGE(""https://docs.google.com/spreadsheets/d/1SX6NBoVAgQJ6U1MVXOaj8PK2l7WJ3RER9xtqwdhxkhw/edit?usp=sharing"",""อ่างทอง!I384"")"),0)</f>
        <v>0</v>
      </c>
      <c r="J489" s="189">
        <f ca="1">IFERROR(__xludf.DUMMYFUNCTION("IMPORTRANGE(""https://docs.google.com/spreadsheets/d/1SX6NBoVAgQJ6U1MVXOaj8PK2l7WJ3RER9xtqwdhxkhw/edit?usp=sharing"",""อ่างทอง!J384"")"),0)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IFERROR(__xludf.DUMMYFUNCTION("IMPORTRANGE(""https://docs.google.com/spreadsheets/d/1SX6NBoVAgQJ6U1MVXOaj8PK2l7WJ3RER9xtqwdhxkhw/edit?usp=sharing"",""อ่างทอง!I385"")"),0)</f>
        <v>0</v>
      </c>
      <c r="J490" s="189">
        <f ca="1">IFERROR(__xludf.DUMMYFUNCTION("IMPORTRANGE(""https://docs.google.com/spreadsheets/d/1SX6NBoVAgQJ6U1MVXOaj8PK2l7WJ3RER9xtqwdhxkhw/edit?usp=sharing"",""อ่างทอง!J385"")"),0)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IFERROR(__xludf.DUMMYFUNCTION("IMPORTRANGE(""https://docs.google.com/spreadsheets/d/1SX6NBoVAgQJ6U1MVXOaj8PK2l7WJ3RER9xtqwdhxkhw/edit?usp=sharing"",""อ่างทอง!I386"")"),0)</f>
        <v>0</v>
      </c>
      <c r="J491" s="189">
        <f ca="1">IFERROR(__xludf.DUMMYFUNCTION("IMPORTRANGE(""https://docs.google.com/spreadsheets/d/1SX6NBoVAgQJ6U1MVXOaj8PK2l7WJ3RER9xtqwdhxkhw/edit?usp=sharing"",""อ่างทอง!J386"")"),0)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IFERROR(__xludf.DUMMYFUNCTION("IMPORTRANGE(""https://docs.google.com/spreadsheets/d/1SX6NBoVAgQJ6U1MVXOaj8PK2l7WJ3RER9xtqwdhxkhw/edit?usp=sharing"",""อ่างทอง!I387"")"),0)</f>
        <v>0</v>
      </c>
      <c r="J492" s="189">
        <f ca="1">IFERROR(__xludf.DUMMYFUNCTION("IMPORTRANGE(""https://docs.google.com/spreadsheets/d/1SX6NBoVAgQJ6U1MVXOaj8PK2l7WJ3RER9xtqwdhxkhw/edit?usp=sharing"",""อ่างทอง!J387"")"),0)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IFERROR(__xludf.DUMMYFUNCTION("IMPORTRANGE(""https://docs.google.com/spreadsheets/d/1SX6NBoVAgQJ6U1MVXOaj8PK2l7WJ3RER9xtqwdhxkhw/edit?usp=sharing"",""อ่างทอง!I388"")"),0)</f>
        <v>0</v>
      </c>
      <c r="J493" s="189">
        <f ca="1">IFERROR(__xludf.DUMMYFUNCTION("IMPORTRANGE(""https://docs.google.com/spreadsheets/d/1SX6NBoVAgQJ6U1MVXOaj8PK2l7WJ3RER9xtqwdhxkhw/edit?usp=sharing"",""อ่างทอง!J388"")"),0)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IFERROR(__xludf.DUMMYFUNCTION("IMPORTRANGE(""https://docs.google.com/spreadsheets/d/1SX6NBoVAgQJ6U1MVXOaj8PK2l7WJ3RER9xtqwdhxkhw/edit?usp=sharing"",""อ่างทอง!I395"")"),0)</f>
        <v>0</v>
      </c>
      <c r="J500" s="162">
        <f ca="1">IFERROR(__xludf.DUMMYFUNCTION("IMPORTRANGE(""https://docs.google.com/spreadsheets/d/1SX6NBoVAgQJ6U1MVXOaj8PK2l7WJ3RER9xtqwdhxkhw/edit?usp=sharing"",""อ่างทอง!J395"")"),0)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IFERROR(__xludf.DUMMYFUNCTION("IMPORTRANGE(""https://docs.google.com/spreadsheets/d/1SX6NBoVAgQJ6U1MVXOaj8PK2l7WJ3RER9xtqwdhxkhw/edit?usp=sharing"",""อ่างทอง!I396"")"),0)</f>
        <v>0</v>
      </c>
      <c r="J501" s="162">
        <f ca="1">IFERROR(__xludf.DUMMYFUNCTION("IMPORTRANGE(""https://docs.google.com/spreadsheets/d/1SX6NBoVAgQJ6U1MVXOaj8PK2l7WJ3RER9xtqwdhxkhw/edit?usp=sharing"",""อ่างทอง!J396"")"),0)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IFERROR(__xludf.DUMMYFUNCTION("IMPORTRANGE(""https://docs.google.com/spreadsheets/d/1SX6NBoVAgQJ6U1MVXOaj8PK2l7WJ3RER9xtqwdhxkhw/edit?usp=sharing"",""อ่างทอง!I397"")"),0)</f>
        <v>0</v>
      </c>
      <c r="J502" s="189">
        <f ca="1">IFERROR(__xludf.DUMMYFUNCTION("IMPORTRANGE(""https://docs.google.com/spreadsheets/d/1SX6NBoVAgQJ6U1MVXOaj8PK2l7WJ3RER9xtqwdhxkhw/edit?usp=sharing"",""อ่างทอง!J397"")"),0)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IFERROR(__xludf.DUMMYFUNCTION("IMPORTRANGE(""https://docs.google.com/spreadsheets/d/1SX6NBoVAgQJ6U1MVXOaj8PK2l7WJ3RER9xtqwdhxkhw/edit?usp=sharing"",""อ่างทอง!I398"")"),0)</f>
        <v>0</v>
      </c>
      <c r="J503" s="198">
        <f ca="1">IFERROR(__xludf.DUMMYFUNCTION("IMPORTRANGE(""https://docs.google.com/spreadsheets/d/1SX6NBoVAgQJ6U1MVXOaj8PK2l7WJ3RER9xtqwdhxkhw/edit?usp=sharing"",""อ่างทอง!J398"")"),0)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IFERROR(__xludf.DUMMYFUNCTION("IMPORTRANGE(""https://docs.google.com/spreadsheets/d/1SX6NBoVAgQJ6U1MVXOaj8PK2l7WJ3RER9xtqwdhxkhw/edit?usp=sharing"",""อ่างทอง!I399"")"),0)</f>
        <v>0</v>
      </c>
      <c r="J504" s="189">
        <f ca="1">IFERROR(__xludf.DUMMYFUNCTION("IMPORTRANGE(""https://docs.google.com/spreadsheets/d/1SX6NBoVAgQJ6U1MVXOaj8PK2l7WJ3RER9xtqwdhxkhw/edit?usp=sharing"",""อ่างทอง!J399"")"),0)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IFERROR(__xludf.DUMMYFUNCTION("IMPORTRANGE(""https://docs.google.com/spreadsheets/d/1SX6NBoVAgQJ6U1MVXOaj8PK2l7WJ3RER9xtqwdhxkhw/edit?usp=sharing"",""อ่างทอง!I400"")"),0)</f>
        <v>0</v>
      </c>
      <c r="J505" s="198">
        <f ca="1">IFERROR(__xludf.DUMMYFUNCTION("IMPORTRANGE(""https://docs.google.com/spreadsheets/d/1SX6NBoVAgQJ6U1MVXOaj8PK2l7WJ3RER9xtqwdhxkhw/edit?usp=sharing"",""อ่างทอง!J400"")"),0)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IFERROR(__xludf.DUMMYFUNCTION("IMPORTRANGE(""https://docs.google.com/spreadsheets/d/1SX6NBoVAgQJ6U1MVXOaj8PK2l7WJ3RER9xtqwdhxkhw/edit?usp=sharing"",""อ่างทอง!I401"")"),0)</f>
        <v>0</v>
      </c>
      <c r="J506" s="189">
        <f ca="1">IFERROR(__xludf.DUMMYFUNCTION("IMPORTRANGE(""https://docs.google.com/spreadsheets/d/1SX6NBoVAgQJ6U1MVXOaj8PK2l7WJ3RER9xtqwdhxkhw/edit?usp=sharing"",""อ่างทอง!J401"")"),0)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IFERROR(__xludf.DUMMYFUNCTION("IMPORTRANGE(""https://docs.google.com/spreadsheets/d/1SX6NBoVAgQJ6U1MVXOaj8PK2l7WJ3RER9xtqwdhxkhw/edit?usp=sharing"",""อ่างทอง!I402"")"),0)</f>
        <v>0</v>
      </c>
      <c r="J507" s="198">
        <f ca="1">IFERROR(__xludf.DUMMYFUNCTION("IMPORTRANGE(""https://docs.google.com/spreadsheets/d/1SX6NBoVAgQJ6U1MVXOaj8PK2l7WJ3RER9xtqwdhxkhw/edit?usp=sharing"",""อ่างทอง!J402"")"),0)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IFERROR(__xludf.DUMMYFUNCTION("IMPORTRANGE(""https://docs.google.com/spreadsheets/d/1SX6NBoVAgQJ6U1MVXOaj8PK2l7WJ3RER9xtqwdhxkhw/edit?usp=sharing"",""อ่างทอง!I403"")"),0)</f>
        <v>0</v>
      </c>
      <c r="J508" s="162">
        <f ca="1">IFERROR(__xludf.DUMMYFUNCTION("IMPORTRANGE(""https://docs.google.com/spreadsheets/d/1SX6NBoVAgQJ6U1MVXOaj8PK2l7WJ3RER9xtqwdhxkhw/edit?usp=sharing"",""อ่างทอง!J403"")"),0)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IFERROR(__xludf.DUMMYFUNCTION("IMPORTRANGE(""https://docs.google.com/spreadsheets/d/1SX6NBoVAgQJ6U1MVXOaj8PK2l7WJ3RER9xtqwdhxkhw/edit?usp=sharing"",""อ่างทอง!I404"")"),0)</f>
        <v>0</v>
      </c>
      <c r="J509" s="162">
        <f ca="1">IFERROR(__xludf.DUMMYFUNCTION("IMPORTRANGE(""https://docs.google.com/spreadsheets/d/1SX6NBoVAgQJ6U1MVXOaj8PK2l7WJ3RER9xtqwdhxkhw/edit?usp=sharing"",""อ่างทอง!J404"")"),0)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IFERROR(__xludf.DUMMYFUNCTION("IMPORTRANGE(""https://docs.google.com/spreadsheets/d/1SX6NBoVAgQJ6U1MVXOaj8PK2l7WJ3RER9xtqwdhxkhw/edit?usp=sharing"",""อ่างทอง!I405"")"),0)</f>
        <v>0</v>
      </c>
      <c r="J510" s="198">
        <f ca="1">IFERROR(__xludf.DUMMYFUNCTION("IMPORTRANGE(""https://docs.google.com/spreadsheets/d/1SX6NBoVAgQJ6U1MVXOaj8PK2l7WJ3RER9xtqwdhxkhw/edit?usp=sharing"",""อ่างทอง!J405"")"),0)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IFERROR(__xludf.DUMMYFUNCTION("IMPORTRANGE(""https://docs.google.com/spreadsheets/d/1SX6NBoVAgQJ6U1MVXOaj8PK2l7WJ3RER9xtqwdhxkhw/edit?usp=sharing"",""อ่างทอง!I406"")"),0)</f>
        <v>0</v>
      </c>
      <c r="J511" s="198">
        <f ca="1">IFERROR(__xludf.DUMMYFUNCTION("IMPORTRANGE(""https://docs.google.com/spreadsheets/d/1SX6NBoVAgQJ6U1MVXOaj8PK2l7WJ3RER9xtqwdhxkhw/edit?usp=sharing"",""อ่างทอง!J406"")"),0)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IFERROR(__xludf.DUMMYFUNCTION("IMPORTRANGE(""https://docs.google.com/spreadsheets/d/1SX6NBoVAgQJ6U1MVXOaj8PK2l7WJ3RER9xtqwdhxkhw/edit?usp=sharing"",""อ่างทอง!I407"")"),0)</f>
        <v>0</v>
      </c>
      <c r="J512" s="198">
        <f ca="1">IFERROR(__xludf.DUMMYFUNCTION("IMPORTRANGE(""https://docs.google.com/spreadsheets/d/1SX6NBoVAgQJ6U1MVXOaj8PK2l7WJ3RER9xtqwdhxkhw/edit?usp=sharing"",""อ่างทอง!J407"")"),0)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IFERROR(__xludf.DUMMYFUNCTION("IMPORTRANGE(""https://docs.google.com/spreadsheets/d/1SX6NBoVAgQJ6U1MVXOaj8PK2l7WJ3RER9xtqwdhxkhw/edit?usp=sharing"",""อ่างทอง!I408"")"),0)</f>
        <v>0</v>
      </c>
      <c r="J513" s="198">
        <f ca="1">IFERROR(__xludf.DUMMYFUNCTION("IMPORTRANGE(""https://docs.google.com/spreadsheets/d/1SX6NBoVAgQJ6U1MVXOaj8PK2l7WJ3RER9xtqwdhxkhw/edit?usp=sharing"",""อ่างทอง!J408"")"),0)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IFERROR(__xludf.DUMMYFUNCTION("IMPORTRANGE(""https://docs.google.com/spreadsheets/d/1SX6NBoVAgQJ6U1MVXOaj8PK2l7WJ3RER9xtqwdhxkhw/edit?usp=sharing"",""อ่างทอง!I409"")"),0)</f>
        <v>0</v>
      </c>
      <c r="J514" s="198">
        <f ca="1">IFERROR(__xludf.DUMMYFUNCTION("IMPORTRANGE(""https://docs.google.com/spreadsheets/d/1SX6NBoVAgQJ6U1MVXOaj8PK2l7WJ3RER9xtqwdhxkhw/edit?usp=sharing"",""อ่างทอง!J409"")"),0)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IFERROR(__xludf.DUMMYFUNCTION("IMPORTRANGE(""https://docs.google.com/spreadsheets/d/1SX6NBoVAgQJ6U1MVXOaj8PK2l7WJ3RER9xtqwdhxkhw/edit?usp=sharing"",""อ่างทอง!I410"")"),0)</f>
        <v>0</v>
      </c>
      <c r="J515" s="198">
        <f ca="1">IFERROR(__xludf.DUMMYFUNCTION("IMPORTRANGE(""https://docs.google.com/spreadsheets/d/1SX6NBoVAgQJ6U1MVXOaj8PK2l7WJ3RER9xtqwdhxkhw/edit?usp=sharing"",""อ่างทอง!J410"")"),0)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IFERROR(__xludf.DUMMYFUNCTION("IMPORTRANGE(""https://docs.google.com/spreadsheets/d/1SX6NBoVAgQJ6U1MVXOaj8PK2l7WJ3RER9xtqwdhxkhw/edit?usp=sharing"",""อ่างทอง!I411"")"),0)</f>
        <v>0</v>
      </c>
      <c r="J516" s="268">
        <f ca="1">IFERROR(__xludf.DUMMYFUNCTION("IMPORTRANGE(""https://docs.google.com/spreadsheets/d/1SX6NBoVAgQJ6U1MVXOaj8PK2l7WJ3RER9xtqwdhxkhw/edit?usp=sharing"",""อ่างทอง!J411"")"),0)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IFERROR(__xludf.DUMMYFUNCTION("IMPORTRANGE(""https://docs.google.com/spreadsheets/d/1SX6NBoVAgQJ6U1MVXOaj8PK2l7WJ3RER9xtqwdhxkhw/edit?usp=sharing"",""อ่างทอง!I412"")"),0)</f>
        <v>0</v>
      </c>
      <c r="J517" s="285">
        <f ca="1">IFERROR(__xludf.DUMMYFUNCTION("IMPORTRANGE(""https://docs.google.com/spreadsheets/d/1SX6NBoVAgQJ6U1MVXOaj8PK2l7WJ3RER9xtqwdhxkhw/edit?usp=sharing"",""อ่างทอง!J412"")"),0)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IFERROR(__xludf.DUMMYFUNCTION("IMPORTRANGE(""https://docs.google.com/spreadsheets/d/1SX6NBoVAgQJ6U1MVXOaj8PK2l7WJ3RER9xtqwdhxkhw/edit?usp=sharing"",""อ่างทอง!I413"")"),0)</f>
        <v>0</v>
      </c>
      <c r="J518" s="285">
        <f ca="1">IFERROR(__xludf.DUMMYFUNCTION("IMPORTRANGE(""https://docs.google.com/spreadsheets/d/1SX6NBoVAgQJ6U1MVXOaj8PK2l7WJ3RER9xtqwdhxkhw/edit?usp=sharing"",""อ่างทอง!J413"")"),0)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IFERROR(__xludf.DUMMYFUNCTION("IMPORTRANGE(""https://docs.google.com/spreadsheets/d/1SX6NBoVAgQJ6U1MVXOaj8PK2l7WJ3RER9xtqwdhxkhw/edit?usp=sharing"",""อ่างทอง!I414"")"),0)</f>
        <v>0</v>
      </c>
      <c r="J519" s="188">
        <f ca="1">IFERROR(__xludf.DUMMYFUNCTION("IMPORTRANGE(""https://docs.google.com/spreadsheets/d/1SX6NBoVAgQJ6U1MVXOaj8PK2l7WJ3RER9xtqwdhxkhw/edit?usp=sharing"",""อ่างทอง!J414"")"),0)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IFERROR(__xludf.DUMMYFUNCTION("IMPORTRANGE(""https://docs.google.com/spreadsheets/d/1SX6NBoVAgQJ6U1MVXOaj8PK2l7WJ3RER9xtqwdhxkhw/edit?usp=sharing"",""อ่างทอง!I415"")"),0)</f>
        <v>0</v>
      </c>
      <c r="J520" s="188">
        <f ca="1">IFERROR(__xludf.DUMMYFUNCTION("IMPORTRANGE(""https://docs.google.com/spreadsheets/d/1SX6NBoVAgQJ6U1MVXOaj8PK2l7WJ3RER9xtqwdhxkhw/edit?usp=sharing"",""อ่างทอง!J415"")"),0)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IFERROR(__xludf.DUMMYFUNCTION("IMPORTRANGE(""https://docs.google.com/spreadsheets/d/1SX6NBoVAgQJ6U1MVXOaj8PK2l7WJ3RER9xtqwdhxkhw/edit?usp=sharing"",""อ่างทอง!I416"")"),0)</f>
        <v>0</v>
      </c>
      <c r="J521" s="188">
        <f ca="1">IFERROR(__xludf.DUMMYFUNCTION("IMPORTRANGE(""https://docs.google.com/spreadsheets/d/1SX6NBoVAgQJ6U1MVXOaj8PK2l7WJ3RER9xtqwdhxkhw/edit?usp=sharing"",""อ่างทอง!J416"")"),0)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IFERROR(__xludf.DUMMYFUNCTION("IMPORTRANGE(""https://docs.google.com/spreadsheets/d/1SX6NBoVAgQJ6U1MVXOaj8PK2l7WJ3RER9xtqwdhxkhw/edit?usp=sharing"",""อ่างทอง!I417"")"),0)</f>
        <v>0</v>
      </c>
      <c r="J522" s="188">
        <f ca="1">IFERROR(__xludf.DUMMYFUNCTION("IMPORTRANGE(""https://docs.google.com/spreadsheets/d/1SX6NBoVAgQJ6U1MVXOaj8PK2l7WJ3RER9xtqwdhxkhw/edit?usp=sharing"",""อ่างทอง!J417"")"),0)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IFERROR(__xludf.DUMMYFUNCTION("IMPORTRANGE(""https://docs.google.com/spreadsheets/d/1SX6NBoVAgQJ6U1MVXOaj8PK2l7WJ3RER9xtqwdhxkhw/edit?usp=sharing"",""อ่างทอง!I418"")"),0)</f>
        <v>0</v>
      </c>
      <c r="J523" s="188">
        <f ca="1">IFERROR(__xludf.DUMMYFUNCTION("IMPORTRANGE(""https://docs.google.com/spreadsheets/d/1SX6NBoVAgQJ6U1MVXOaj8PK2l7WJ3RER9xtqwdhxkhw/edit?usp=sharing"",""อ่างทอง!J418"")"),0)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IFERROR(__xludf.DUMMYFUNCTION("IMPORTRANGE(""https://docs.google.com/spreadsheets/d/1SX6NBoVAgQJ6U1MVXOaj8PK2l7WJ3RER9xtqwdhxkhw/edit?usp=sharing"",""อ่างทอง!I419"")"),0)</f>
        <v>0</v>
      </c>
      <c r="J524" s="188">
        <f ca="1">IFERROR(__xludf.DUMMYFUNCTION("IMPORTRANGE(""https://docs.google.com/spreadsheets/d/1SX6NBoVAgQJ6U1MVXOaj8PK2l7WJ3RER9xtqwdhxkhw/edit?usp=sharing"",""อ่างทอง!J419"")"),0)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IFERROR(__xludf.DUMMYFUNCTION("IMPORTRANGE(""https://docs.google.com/spreadsheets/d/1SX6NBoVAgQJ6U1MVXOaj8PK2l7WJ3RER9xtqwdhxkhw/edit?usp=sharing"",""อ่างทอง!I420"")"),0)</f>
        <v>0</v>
      </c>
      <c r="J525" s="285">
        <f ca="1">IFERROR(__xludf.DUMMYFUNCTION("IMPORTRANGE(""https://docs.google.com/spreadsheets/d/1SX6NBoVAgQJ6U1MVXOaj8PK2l7WJ3RER9xtqwdhxkhw/edit?usp=sharing"",""อ่างทอง!J420"")"),0)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IFERROR(__xludf.DUMMYFUNCTION("IMPORTRANGE(""https://docs.google.com/spreadsheets/d/1SX6NBoVAgQJ6U1MVXOaj8PK2l7WJ3RER9xtqwdhxkhw/edit?usp=sharing"",""อ่างทอง!I421"")"),0)</f>
        <v>0</v>
      </c>
      <c r="J526" s="285">
        <f ca="1">IFERROR(__xludf.DUMMYFUNCTION("IMPORTRANGE(""https://docs.google.com/spreadsheets/d/1SX6NBoVAgQJ6U1MVXOaj8PK2l7WJ3RER9xtqwdhxkhw/edit?usp=sharing"",""อ่างทอง!J421"")"),0)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IFERROR(__xludf.DUMMYFUNCTION("IMPORTRANGE(""https://docs.google.com/spreadsheets/d/1SX6NBoVAgQJ6U1MVXOaj8PK2l7WJ3RER9xtqwdhxkhw/edit?usp=sharing"",""อ่างทอง!I422"")"),0)</f>
        <v>0</v>
      </c>
      <c r="J527" s="198">
        <f ca="1">IFERROR(__xludf.DUMMYFUNCTION("IMPORTRANGE(""https://docs.google.com/spreadsheets/d/1SX6NBoVAgQJ6U1MVXOaj8PK2l7WJ3RER9xtqwdhxkhw/edit?usp=sharing"",""อ่างทอง!J422"")"),0)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IFERROR(__xludf.DUMMYFUNCTION("IMPORTRANGE(""https://docs.google.com/spreadsheets/d/1SX6NBoVAgQJ6U1MVXOaj8PK2l7WJ3RER9xtqwdhxkhw/edit?usp=sharing"",""อ่างทอง!I423"")"),0)</f>
        <v>0</v>
      </c>
      <c r="J528" s="198">
        <f ca="1">IFERROR(__xludf.DUMMYFUNCTION("IMPORTRANGE(""https://docs.google.com/spreadsheets/d/1SX6NBoVAgQJ6U1MVXOaj8PK2l7WJ3RER9xtqwdhxkhw/edit?usp=sharing"",""อ่างทอง!J423"")"),0)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IFERROR(__xludf.DUMMYFUNCTION("IMPORTRANGE(""https://docs.google.com/spreadsheets/d/1SX6NBoVAgQJ6U1MVXOaj8PK2l7WJ3RER9xtqwdhxkhw/edit?usp=sharing"",""อ่างทอง!I424"")"),0)</f>
        <v>0</v>
      </c>
      <c r="J529" s="198">
        <f ca="1">IFERROR(__xludf.DUMMYFUNCTION("IMPORTRANGE(""https://docs.google.com/spreadsheets/d/1SX6NBoVAgQJ6U1MVXOaj8PK2l7WJ3RER9xtqwdhxkhw/edit?usp=sharing"",""อ่างทอง!J424"")"),0)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IFERROR(__xludf.DUMMYFUNCTION("IMPORTRANGE(""https://docs.google.com/spreadsheets/d/1SX6NBoVAgQJ6U1MVXOaj8PK2l7WJ3RER9xtqwdhxkhw/edit?usp=sharing"",""อ่างทอง!I425"")"),0)</f>
        <v>0</v>
      </c>
      <c r="J530" s="198">
        <f ca="1">IFERROR(__xludf.DUMMYFUNCTION("IMPORTRANGE(""https://docs.google.com/spreadsheets/d/1SX6NBoVAgQJ6U1MVXOaj8PK2l7WJ3RER9xtqwdhxkhw/edit?usp=sharing"",""อ่างทอง!J425"")"),0)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IFERROR(__xludf.DUMMYFUNCTION("IMPORTRANGE(""https://docs.google.com/spreadsheets/d/1SX6NBoVAgQJ6U1MVXOaj8PK2l7WJ3RER9xtqwdhxkhw/edit?usp=sharing"",""อ่างทอง!I426"")"),0)</f>
        <v>0</v>
      </c>
      <c r="J531" s="198">
        <f ca="1">IFERROR(__xludf.DUMMYFUNCTION("IMPORTRANGE(""https://docs.google.com/spreadsheets/d/1SX6NBoVAgQJ6U1MVXOaj8PK2l7WJ3RER9xtqwdhxkhw/edit?usp=sharing"",""อ่างทอง!J426"")"),0)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IFERROR(__xludf.DUMMYFUNCTION("IMPORTRANGE(""https://docs.google.com/spreadsheets/d/1SX6NBoVAgQJ6U1MVXOaj8PK2l7WJ3RER9xtqwdhxkhw/edit?usp=sharing"",""อ่างทอง!L429"")"),0)</f>
        <v>0</v>
      </c>
      <c r="M534" s="164"/>
      <c r="N534" s="169">
        <f ca="1">IFERROR(__xludf.DUMMYFUNCTION("IMPORTRANGE(""https://docs.google.com/spreadsheets/d/1SX6NBoVAgQJ6U1MVXOaj8PK2l7WJ3RER9xtqwdhxkhw/edit?usp=sharing"",""อ่างทอง!M429"")"),0)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IFERROR(__xludf.DUMMYFUNCTION("IMPORTRANGE(""https://docs.google.com/spreadsheets/d/1SX6NBoVAgQJ6U1MVXOaj8PK2l7WJ3RER9xtqwdhxkhw/edit?usp=sharing"",""อ่างทอง!L430"")"),24140)</f>
        <v>24140</v>
      </c>
      <c r="M535" s="165"/>
      <c r="N535" s="169">
        <f ca="1">IFERROR(__xludf.DUMMYFUNCTION("IMPORTRANGE(""https://docs.google.com/spreadsheets/d/1SX6NBoVAgQJ6U1MVXOaj8PK2l7WJ3RER9xtqwdhxkhw/edit?usp=sharing"",""อ่างทอง!M430"")"),5990)</f>
        <v>5990</v>
      </c>
      <c r="O535" s="169">
        <f t="shared" ca="1" si="118"/>
        <v>24.813587406793705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IFERROR(__xludf.DUMMYFUNCTION("IMPORTRANGE(""https://docs.google.com/spreadsheets/d/1SX6NBoVAgQJ6U1MVXOaj8PK2l7WJ3RER9xtqwdhxkhw/edit?usp=sharing"",""อ่างทอง!L431"")"),0)</f>
        <v>0</v>
      </c>
      <c r="M536" s="169"/>
      <c r="N536" s="169">
        <f ca="1">IFERROR(__xludf.DUMMYFUNCTION("IMPORTRANGE(""https://docs.google.com/spreadsheets/d/1SX6NBoVAgQJ6U1MVXOaj8PK2l7WJ3RER9xtqwdhxkhw/edit?usp=sharing"",""อ่างทอง!M431"")"),0)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IFERROR(__xludf.DUMMYFUNCTION("IMPORTRANGE(""https://docs.google.com/spreadsheets/d/1SX6NBoVAgQJ6U1MVXOaj8PK2l7WJ3RER9xtqwdhxkhw/edit?usp=sharing"",""อ่างทอง!L432"")"),24140)</f>
        <v>24140</v>
      </c>
      <c r="M537" s="169"/>
      <c r="N537" s="169">
        <f ca="1">IFERROR(__xludf.DUMMYFUNCTION("IMPORTRANGE(""https://docs.google.com/spreadsheets/d/1SX6NBoVAgQJ6U1MVXOaj8PK2l7WJ3RER9xtqwdhxkhw/edit?usp=sharing"",""อ่างทอง!M432"")"),5990)</f>
        <v>5990</v>
      </c>
      <c r="O537" s="169">
        <f t="shared" ca="1" si="118"/>
        <v>24.813587406793705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IFERROR(__xludf.DUMMYFUNCTION("IMPORTRANGE(""https://docs.google.com/spreadsheets/d/1SX6NBoVAgQJ6U1MVXOaj8PK2l7WJ3RER9xtqwdhxkhw/edit?usp=sharing"",""อ่างทอง!J438"")"),0)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IFERROR(__xludf.DUMMYFUNCTION("IMPORTRANGE(""https://docs.google.com/spreadsheets/d/1SX6NBoVAgQJ6U1MVXOaj8PK2l7WJ3RER9xtqwdhxkhw/edit?usp=sharing"",""อ่างทอง!J439"")"),1)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IFERROR(__xludf.DUMMYFUNCTION("IMPORTRANGE(""https://docs.google.com/spreadsheets/d/1SX6NBoVAgQJ6U1MVXOaj8PK2l7WJ3RER9xtqwdhxkhw/edit?usp=sharing"",""อ่างทอง!J440"")"),1)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IFERROR(__xludf.DUMMYFUNCTION("IMPORTRANGE(""https://docs.google.com/spreadsheets/d/1SX6NBoVAgQJ6U1MVXOaj8PK2l7WJ3RER9xtqwdhxkhw/edit?usp=sharing"",""อ่างทอง!J441"")"),1)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IFERROR(__xludf.DUMMYFUNCTION("IMPORTRANGE(""https://docs.google.com/spreadsheets/d/1SX6NBoVAgQJ6U1MVXOaj8PK2l7WJ3RER9xtqwdhxkhw/edit?usp=sharing"",""อ่างทอง!I442"")"),10)</f>
        <v>10</v>
      </c>
      <c r="J547" s="189">
        <f ca="1">IFERROR(__xludf.DUMMYFUNCTION("IMPORTRANGE(""https://docs.google.com/spreadsheets/d/1SX6NBoVAgQJ6U1MVXOaj8PK2l7WJ3RER9xtqwdhxkhw/edit?usp=sharing"",""อ่างทอง!J442"")"),10)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IFERROR(__xludf.DUMMYFUNCTION("IMPORTRANGE(""https://docs.google.com/spreadsheets/d/1SX6NBoVAgQJ6U1MVXOaj8PK2l7WJ3RER9xtqwdhxkhw/edit?usp=sharing"",""อ่างทอง!J166"")"),0)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IFERROR(__xludf.DUMMYFUNCTION("IMPORTRANGE(""https://docs.google.com/spreadsheets/d/1SX6NBoVAgQJ6U1MVXOaj8PK2l7WJ3RER9xtqwdhxkhw/edit?usp=sharing"",""อ่างทอง!J444"")"),0)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IFERROR(__xludf.DUMMYFUNCTION("IMPORTRANGE(""https://docs.google.com/spreadsheets/d/1SX6NBoVAgQJ6U1MVXOaj8PK2l7WJ3RER9xtqwdhxkhw/edit?usp=sharing"",""อ่างทอง!L447"")"),0)</f>
        <v>0</v>
      </c>
      <c r="M552" s="164"/>
      <c r="N552" s="169">
        <f ca="1">IFERROR(__xludf.DUMMYFUNCTION("IMPORTRANGE(""https://docs.google.com/spreadsheets/d/1SX6NBoVAgQJ6U1MVXOaj8PK2l7WJ3RER9xtqwdhxkhw/edit?usp=sharing"",""อ่างทอง!M447"")"),0)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IFERROR(__xludf.DUMMYFUNCTION("IMPORTRANGE(""https://docs.google.com/spreadsheets/d/1SX6NBoVAgQJ6U1MVXOaj8PK2l7WJ3RER9xtqwdhxkhw/edit?usp=sharing"",""อ่างทอง!L448"")"),0)</f>
        <v>0</v>
      </c>
      <c r="M553" s="165"/>
      <c r="N553" s="169">
        <f ca="1">IFERROR(__xludf.DUMMYFUNCTION("IMPORTRANGE(""https://docs.google.com/spreadsheets/d/1SX6NBoVAgQJ6U1MVXOaj8PK2l7WJ3RER9xtqwdhxkhw/edit?usp=sharing"",""อ่างทอง!M448"")"),0)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IFERROR(__xludf.DUMMYFUNCTION("IMPORTRANGE(""https://docs.google.com/spreadsheets/d/1SX6NBoVAgQJ6U1MVXOaj8PK2l7WJ3RER9xtqwdhxkhw/edit?usp=sharing"",""อ่างทอง!L449"")"),0)</f>
        <v>0</v>
      </c>
      <c r="M554" s="169"/>
      <c r="N554" s="169">
        <f ca="1">IFERROR(__xludf.DUMMYFUNCTION("IMPORTRANGE(""https://docs.google.com/spreadsheets/d/1SX6NBoVAgQJ6U1MVXOaj8PK2l7WJ3RER9xtqwdhxkhw/edit?usp=sharing"",""อ่างทอง!M449"")"),0)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IFERROR(__xludf.DUMMYFUNCTION("IMPORTRANGE(""https://docs.google.com/spreadsheets/d/1SX6NBoVAgQJ6U1MVXOaj8PK2l7WJ3RER9xtqwdhxkhw/edit?usp=sharing"",""อ่างทอง!L450"")"),0)</f>
        <v>0</v>
      </c>
      <c r="M555" s="169"/>
      <c r="N555" s="169">
        <f ca="1">IFERROR(__xludf.DUMMYFUNCTION("IMPORTRANGE(""https://docs.google.com/spreadsheets/d/1SX6NBoVAgQJ6U1MVXOaj8PK2l7WJ3RER9xtqwdhxkhw/edit?usp=sharing"",""อ่างทอง!M450"")"),0)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IFERROR(__xludf.DUMMYFUNCTION("IMPORTRANGE(""https://docs.google.com/spreadsheets/d/1SX6NBoVAgQJ6U1MVXOaj8PK2l7WJ3RER9xtqwdhxkhw/edit?usp=sharing"",""อ่างทอง!M451"")"),0)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IFERROR(__xludf.DUMMYFUNCTION("IMPORTRANGE(""https://docs.google.com/spreadsheets/d/1SX6NBoVAgQJ6U1MVXOaj8PK2l7WJ3RER9xtqwdhxkhw/edit?usp=sharing"",""อ่างทอง!M452"")"),0)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IFERROR(__xludf.DUMMYFUNCTION("IMPORTRANGE(""https://docs.google.com/spreadsheets/d/1SX6NBoVAgQJ6U1MVXOaj8PK2l7WJ3RER9xtqwdhxkhw/edit?usp=sharing"",""อ่างทอง!M453"")"),0)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IFERROR(__xludf.DUMMYFUNCTION("IMPORTRANGE(""https://docs.google.com/spreadsheets/d/1SX6NBoVAgQJ6U1MVXOaj8PK2l7WJ3RER9xtqwdhxkhw/edit?usp=sharing"",""อ่างทอง!M454"")"),0)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IFERROR(__xludf.DUMMYFUNCTION("IMPORTRANGE(""https://docs.google.com/spreadsheets/d/1SX6NBoVAgQJ6U1MVXOaj8PK2l7WJ3RER9xtqwdhxkhw/edit?usp=sharing"",""อ่างทอง!I455"")"),0)</f>
        <v>0</v>
      </c>
      <c r="J560" s="162">
        <f ca="1">IFERROR(__xludf.DUMMYFUNCTION("IMPORTRANGE(""https://docs.google.com/spreadsheets/d/1SX6NBoVAgQJ6U1MVXOaj8PK2l7WJ3RER9xtqwdhxkhw/edit?usp=sharing"",""อ่างทอง!J455"")"),0)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IFERROR(__xludf.DUMMYFUNCTION("IMPORTRANGE(""https://docs.google.com/spreadsheets/d/1SX6NBoVAgQJ6U1MVXOaj8PK2l7WJ3RER9xtqwdhxkhw/edit?usp=sharing"",""อ่างทอง!I456"")"),0)</f>
        <v>0</v>
      </c>
      <c r="J561" s="204">
        <f ca="1">IFERROR(__xludf.DUMMYFUNCTION("IMPORTRANGE(""https://docs.google.com/spreadsheets/d/1SX6NBoVAgQJ6U1MVXOaj8PK2l7WJ3RER9xtqwdhxkhw/edit?usp=sharing"",""อ่างทอง!J456"")"),0)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IFERROR(__xludf.DUMMYFUNCTION("IMPORTRANGE(""https://docs.google.com/spreadsheets/d/1SX6NBoVAgQJ6U1MVXOaj8PK2l7WJ3RER9xtqwdhxkhw/edit?usp=sharing"",""อ่างทอง!J459"")"),5)</f>
        <v>5</v>
      </c>
      <c r="K564" s="372">
        <f ca="1">IF(I564&gt;0,J564*100/I564,0)</f>
        <v>25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IFERROR(__xludf.DUMMYFUNCTION("IMPORTRANGE(""https://docs.google.com/spreadsheets/d/1SX6NBoVAgQJ6U1MVXOaj8PK2l7WJ3RER9xtqwdhxkhw/edit?usp=sharing"",""อ่างทอง!M459"")"),45992)</f>
        <v>45992</v>
      </c>
      <c r="O564" s="373">
        <f t="shared" ref="O564:O568" ca="1" si="122">+IF(L564&gt;0,N564*100/L564,0)</f>
        <v>39.029192124915141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IFERROR(__xludf.DUMMYFUNCTION("IMPORTRANGE(""https://docs.google.com/spreadsheets/d/1SX6NBoVAgQJ6U1MVXOaj8PK2l7WJ3RER9xtqwdhxkhw/edit?usp=sharing"",""อ่างทอง!L460"")"),0)</f>
        <v>0</v>
      </c>
      <c r="M565" s="164"/>
      <c r="N565" s="169">
        <f ca="1">IFERROR(__xludf.DUMMYFUNCTION("IMPORTRANGE(""https://docs.google.com/spreadsheets/d/1SX6NBoVAgQJ6U1MVXOaj8PK2l7WJ3RER9xtqwdhxkhw/edit?usp=sharing"",""อ่างทอง!M460"")"),0)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IFERROR(__xludf.DUMMYFUNCTION("IMPORTRANGE(""https://docs.google.com/spreadsheets/d/1SX6NBoVAgQJ6U1MVXOaj8PK2l7WJ3RER9xtqwdhxkhw/edit?usp=sharing"",""อ่างทอง!L461"")"),117840)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IFERROR(__xludf.DUMMYFUNCTION("IMPORTRANGE(""https://docs.google.com/spreadsheets/d/1SX6NBoVAgQJ6U1MVXOaj8PK2l7WJ3RER9xtqwdhxkhw/edit?usp=sharing"",""อ่างทอง!M461"")"),45992)</f>
        <v>45992</v>
      </c>
      <c r="O566" s="169">
        <f t="shared" ca="1" si="122"/>
        <v>39.029192124915141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IFERROR(__xludf.DUMMYFUNCTION("IMPORTRANGE(""https://docs.google.com/spreadsheets/d/1SX6NBoVAgQJ6U1MVXOaj8PK2l7WJ3RER9xtqwdhxkhw/edit?usp=sharing"",""อ่างทอง!L462"")"),0)</f>
        <v>0</v>
      </c>
      <c r="M567" s="169"/>
      <c r="N567" s="169">
        <f ca="1">IFERROR(__xludf.DUMMYFUNCTION("IMPORTRANGE(""https://docs.google.com/spreadsheets/d/1SX6NBoVAgQJ6U1MVXOaj8PK2l7WJ3RER9xtqwdhxkhw/edit?usp=sharing"",""อ่างทอง!M462"")"),0)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IFERROR(__xludf.DUMMYFUNCTION("IMPORTRANGE(""https://docs.google.com/spreadsheets/d/1SX6NBoVAgQJ6U1MVXOaj8PK2l7WJ3RER9xtqwdhxkhw/edit?usp=sharing"",""อ่างทอง!L463"")"),117840)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IFERROR(__xludf.DUMMYFUNCTION("IMPORTRANGE(""https://docs.google.com/spreadsheets/d/1SX6NBoVAgQJ6U1MVXOaj8PK2l7WJ3RER9xtqwdhxkhw/edit?usp=sharing"",""อ่างทอง!M463"")"),45992)</f>
        <v>45992</v>
      </c>
      <c r="O568" s="169">
        <f t="shared" ca="1" si="122"/>
        <v>39.029192124915141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IFERROR(__xludf.DUMMYFUNCTION("IMPORTRANGE(""https://docs.google.com/spreadsheets/d/1SX6NBoVAgQJ6U1MVXOaj8PK2l7WJ3RER9xtqwdhxkhw/edit?usp=sharing"",""อ่างทอง!M464"")"),0)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IFERROR(__xludf.DUMMYFUNCTION("IMPORTRANGE(""https://docs.google.com/spreadsheets/d/1SX6NBoVAgQJ6U1MVXOaj8PK2l7WJ3RER9xtqwdhxkhw/edit?usp=sharing"",""อ่างทอง!M465"")"),0)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IFERROR(__xludf.DUMMYFUNCTION("IMPORTRANGE(""https://docs.google.com/spreadsheets/d/1SX6NBoVAgQJ6U1MVXOaj8PK2l7WJ3RER9xtqwdhxkhw/edit?usp=sharing"",""อ่างทอง!M466"")"),45992)</f>
        <v>45992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IFERROR(__xludf.DUMMYFUNCTION("IMPORTRANGE(""https://docs.google.com/spreadsheets/d/1SX6NBoVAgQJ6U1MVXOaj8PK2l7WJ3RER9xtqwdhxkhw/edit?usp=sharing"",""อ่างทอง!J468"")"),5)</f>
        <v>5</v>
      </c>
      <c r="K573" s="202">
        <f ca="1">IF(I573&gt;0,J573*100/I573,0)</f>
        <v>25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IFERROR(__xludf.DUMMYFUNCTION("IMPORTRANGE(""https://docs.google.com/spreadsheets/d/1SX6NBoVAgQJ6U1MVXOaj8PK2l7WJ3RER9xtqwdhxkhw/edit?usp=sharing"",""อ่างทอง!I470"")"),0)</f>
        <v>0</v>
      </c>
      <c r="J575" s="198">
        <f ca="1">IFERROR(__xludf.DUMMYFUNCTION("IMPORTRANGE(""https://docs.google.com/spreadsheets/d/1SX6NBoVAgQJ6U1MVXOaj8PK2l7WJ3RER9xtqwdhxkhw/edit?usp=sharing"",""อ่างทอง!J470"")"),0)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IFERROR(__xludf.DUMMYFUNCTION("IMPORTRANGE(""https://docs.google.com/spreadsheets/d/1SX6NBoVAgQJ6U1MVXOaj8PK2l7WJ3RER9xtqwdhxkhw/edit?usp=sharing"",""อ่างทอง!I471"")"),0)</f>
        <v>0</v>
      </c>
      <c r="J576" s="198">
        <f ca="1">IFERROR(__xludf.DUMMYFUNCTION("IMPORTRANGE(""https://docs.google.com/spreadsheets/d/1SX6NBoVAgQJ6U1MVXOaj8PK2l7WJ3RER9xtqwdhxkhw/edit?usp=sharing"",""อ่างทอง!J471"")"),0)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IFERROR(__xludf.DUMMYFUNCTION("IMPORTRANGE(""https://docs.google.com/spreadsheets/d/1SX6NBoVAgQJ6U1MVXOaj8PK2l7WJ3RER9xtqwdhxkhw/edit?usp=sharing"",""อ่างทอง!I472"")"),0)</f>
        <v>0</v>
      </c>
      <c r="J577" s="189">
        <f ca="1">IFERROR(__xludf.DUMMYFUNCTION("IMPORTRANGE(""https://docs.google.com/spreadsheets/d/1SX6NBoVAgQJ6U1MVXOaj8PK2l7WJ3RER9xtqwdhxkhw/edit?usp=sharing"",""อ่างทอง!J472"")"),5)</f>
        <v>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IFERROR(__xludf.DUMMYFUNCTION("IMPORTRANGE(""https://docs.google.com/spreadsheets/d/1SX6NBoVAgQJ6U1MVXOaj8PK2l7WJ3RER9xtqwdhxkhw/edit?usp=sharing"",""อ่างทอง!I473"")"),0)</f>
        <v>0</v>
      </c>
      <c r="J578" s="198">
        <f ca="1">IFERROR(__xludf.DUMMYFUNCTION("IMPORTRANGE(""https://docs.google.com/spreadsheets/d/1SX6NBoVAgQJ6U1MVXOaj8PK2l7WJ3RER9xtqwdhxkhw/edit?usp=sharing"",""อ่างทอง!J473"")"),0)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IFERROR(__xludf.DUMMYFUNCTION("IMPORTRANGE(""https://docs.google.com/spreadsheets/d/1SX6NBoVAgQJ6U1MVXOaj8PK2l7WJ3RER9xtqwdhxkhw/edit?usp=sharing"",""อ่างทอง!I474"")"),0)</f>
        <v>0</v>
      </c>
      <c r="J579" s="198">
        <f ca="1">IFERROR(__xludf.DUMMYFUNCTION("IMPORTRANGE(""https://docs.google.com/spreadsheets/d/1SX6NBoVAgQJ6U1MVXOaj8PK2l7WJ3RER9xtqwdhxkhw/edit?usp=sharing"",""อ่างทอง!J474"")"),0)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IFERROR(__xludf.DUMMYFUNCTION("IMPORTRANGE(""https://docs.google.com/spreadsheets/d/1SX6NBoVAgQJ6U1MVXOaj8PK2l7WJ3RER9xtqwdhxkhw/edit?usp=sharing"",""อ่างทอง!L476"")"),0)</f>
        <v>0</v>
      </c>
      <c r="M581" s="164"/>
      <c r="N581" s="169">
        <f ca="1">IFERROR(__xludf.DUMMYFUNCTION("IMPORTRANGE(""https://docs.google.com/spreadsheets/d/1SX6NBoVAgQJ6U1MVXOaj8PK2l7WJ3RER9xtqwdhxkhw/edit?usp=sharing"",""อ่างทอง!M476"")"),0)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IFERROR(__xludf.DUMMYFUNCTION("IMPORTRANGE(""https://docs.google.com/spreadsheets/d/1SX6NBoVAgQJ6U1MVXOaj8PK2l7WJ3RER9xtqwdhxkhw/edit?usp=sharing"",""อ่างทอง!L477"")"),0)</f>
        <v>0</v>
      </c>
      <c r="M582" s="165"/>
      <c r="N582" s="169">
        <f ca="1">IFERROR(__xludf.DUMMYFUNCTION("IMPORTRANGE(""https://docs.google.com/spreadsheets/d/1SX6NBoVAgQJ6U1MVXOaj8PK2l7WJ3RER9xtqwdhxkhw/edit?usp=sharing"",""อ่างทอง!M477"")"),0)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IFERROR(__xludf.DUMMYFUNCTION("IMPORTRANGE(""https://docs.google.com/spreadsheets/d/1SX6NBoVAgQJ6U1MVXOaj8PK2l7WJ3RER9xtqwdhxkhw/edit?usp=sharing"",""อ่างทอง!L478"")"),0)</f>
        <v>0</v>
      </c>
      <c r="M583" s="169"/>
      <c r="N583" s="169">
        <f ca="1">IFERROR(__xludf.DUMMYFUNCTION("IMPORTRANGE(""https://docs.google.com/spreadsheets/d/1SX6NBoVAgQJ6U1MVXOaj8PK2l7WJ3RER9xtqwdhxkhw/edit?usp=sharing"",""อ่างทอง!M478"")"),0)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IFERROR(__xludf.DUMMYFUNCTION("IMPORTRANGE(""https://docs.google.com/spreadsheets/d/1SX6NBoVAgQJ6U1MVXOaj8PK2l7WJ3RER9xtqwdhxkhw/edit?usp=sharing"",""อ่างทอง!L479"")"),0)</f>
        <v>0</v>
      </c>
      <c r="M584" s="169"/>
      <c r="N584" s="169">
        <f ca="1">IFERROR(__xludf.DUMMYFUNCTION("IMPORTRANGE(""https://docs.google.com/spreadsheets/d/1SX6NBoVAgQJ6U1MVXOaj8PK2l7WJ3RER9xtqwdhxkhw/edit?usp=sharing"",""อ่างทอง!M479"")"),0)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IFERROR(__xludf.DUMMYFUNCTION("IMPORTRANGE(""https://docs.google.com/spreadsheets/d/1SX6NBoVAgQJ6U1MVXOaj8PK2l7WJ3RER9xtqwdhxkhw/edit?usp=sharing"",""อ่างทอง!M480"")"),0)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IFERROR(__xludf.DUMMYFUNCTION("IMPORTRANGE(""https://docs.google.com/spreadsheets/d/1SX6NBoVAgQJ6U1MVXOaj8PK2l7WJ3RER9xtqwdhxkhw/edit?usp=sharing"",""อ่างทอง!M481"")"),0)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IFERROR(__xludf.DUMMYFUNCTION("IMPORTRANGE(""https://docs.google.com/spreadsheets/d/1SX6NBoVAgQJ6U1MVXOaj8PK2l7WJ3RER9xtqwdhxkhw/edit?usp=sharing"",""อ่างทอง!M482"")"),0)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IFERROR(__xludf.DUMMYFUNCTION("IMPORTRANGE(""https://docs.google.com/spreadsheets/d/1SX6NBoVAgQJ6U1MVXOaj8PK2l7WJ3RER9xtqwdhxkhw/edit?usp=sharing"",""อ่างทอง!M483"")"),0)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IFERROR(__xludf.DUMMYFUNCTION("IMPORTRANGE(""https://docs.google.com/spreadsheets/d/1SX6NBoVAgQJ6U1MVXOaj8PK2l7WJ3RER9xtqwdhxkhw/edit?usp=sharing"",""อ่างทอง!I484"")"),0)</f>
        <v>0</v>
      </c>
      <c r="J589" s="188">
        <f ca="1">IFERROR(__xludf.DUMMYFUNCTION("IMPORTRANGE(""https://docs.google.com/spreadsheets/d/1SX6NBoVAgQJ6U1MVXOaj8PK2l7WJ3RER9xtqwdhxkhw/edit?usp=sharing"",""อ่างทอง!J484"")"),0)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8">
        <f ca="1">IFERROR(__xludf.DUMMYFUNCTION("IMPORTRANGE(""https://docs.google.com/spreadsheets/d/1SX6NBoVAgQJ6U1MVXOaj8PK2l7WJ3RER9xtqwdhxkhw/edit?usp=sharing"",""อ่างทอง!J485"")"),0)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IFERROR(__xludf.DUMMYFUNCTION("IMPORTRANGE(""https://docs.google.com/spreadsheets/d/1SX6NBoVAgQJ6U1MVXOaj8PK2l7WJ3RER9xtqwdhxkhw/edit?usp=sharing"",""อ่างทอง!I486"")"),0)</f>
        <v>0</v>
      </c>
      <c r="J591" s="188">
        <f ca="1">IFERROR(__xludf.DUMMYFUNCTION("IMPORTRANGE(""https://docs.google.com/spreadsheets/d/1SX6NBoVAgQJ6U1MVXOaj8PK2l7WJ3RER9xtqwdhxkhw/edit?usp=sharing"",""อ่างทอง!J486"")"),0)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8">
        <f ca="1">IFERROR(__xludf.DUMMYFUNCTION("IMPORTRANGE(""https://docs.google.com/spreadsheets/d/1SX6NBoVAgQJ6U1MVXOaj8PK2l7WJ3RER9xtqwdhxkhw/edit?usp=sharing"",""อ่างทอง!J487"")"),0)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IFERROR(__xludf.DUMMYFUNCTION("IMPORTRANGE(""https://docs.google.com/spreadsheets/d/1SX6NBoVAgQJ6U1MVXOaj8PK2l7WJ3RER9xtqwdhxkhw/edit?usp=sharing"",""อ่างทอง!I488"")"),0)</f>
        <v>0</v>
      </c>
      <c r="J593" s="188">
        <f ca="1">IFERROR(__xludf.DUMMYFUNCTION("IMPORTRANGE(""https://docs.google.com/spreadsheets/d/1SX6NBoVAgQJ6U1MVXOaj8PK2l7WJ3RER9xtqwdhxkhw/edit?usp=sharing"",""อ่างทอง!J488"")"),0)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8">
        <f ca="1">IFERROR(__xludf.DUMMYFUNCTION("IMPORTRANGE(""https://docs.google.com/spreadsheets/d/1SX6NBoVAgQJ6U1MVXOaj8PK2l7WJ3RER9xtqwdhxkhw/edit?usp=sharing"",""อ่างทอง!J489"")"),0)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IFERROR(__xludf.DUMMYFUNCTION("IMPORTRANGE(""https://docs.google.com/spreadsheets/d/1SX6NBoVAgQJ6U1MVXOaj8PK2l7WJ3RER9xtqwdhxkhw/edit?usp=sharing"",""อ่างทอง!I490"")"),0)</f>
        <v>0</v>
      </c>
      <c r="J595" s="188">
        <f ca="1">IFERROR(__xludf.DUMMYFUNCTION("IMPORTRANGE(""https://docs.google.com/spreadsheets/d/1SX6NBoVAgQJ6U1MVXOaj8PK2l7WJ3RER9xtqwdhxkhw/edit?usp=sharing"",""อ่างทอง!J490"")"),0)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IFERROR(__xludf.DUMMYFUNCTION("IMPORTRANGE(""https://docs.google.com/spreadsheets/d/1SX6NBoVAgQJ6U1MVXOaj8PK2l7WJ3RER9xtqwdhxkhw/edit?usp=sharing"",""อ่างทอง!I491"")"),0)</f>
        <v>0</v>
      </c>
      <c r="J596" s="242">
        <f ca="1">IFERROR(__xludf.DUMMYFUNCTION("IMPORTRANGE(""https://docs.google.com/spreadsheets/d/1SX6NBoVAgQJ6U1MVXOaj8PK2l7WJ3RER9xtqwdhxkhw/edit?usp=sharing"",""อ่างทอง!J491"")"),0)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7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IFERROR(__xludf.DUMMYFUNCTION("IMPORTRANGE(""https://docs.google.com/spreadsheets/d/1SX6NBoVAgQJ6U1MVXOaj8PK2l7WJ3RER9xtqwdhxkhw/edit?usp=sharing"",""อ่างทอง!L492"")"),10800)</f>
        <v>10800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10.833333333333334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IFERROR(__xludf.DUMMYFUNCTION("IMPORTRANGE(""https://docs.google.com/spreadsheets/d/1SX6NBoVAgQJ6U1MVXOaj8PK2l7WJ3RER9xtqwdhxkhw/edit?usp=sharing"",""อ่างทอง!L493"")"),0)</f>
        <v>0</v>
      </c>
      <c r="M598" s="164"/>
      <c r="N598" s="169">
        <f ca="1">IFERROR(__xludf.DUMMYFUNCTION("IMPORTRANGE(""https://docs.google.com/spreadsheets/d/1SX6NBoVAgQJ6U1MVXOaj8PK2l7WJ3RER9xtqwdhxkhw/edit?usp=sharing"",""อ่างทอง!M493"")"),0)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IFERROR(__xludf.DUMMYFUNCTION("IMPORTRANGE(""https://docs.google.com/spreadsheets/d/1SX6NBoVAgQJ6U1MVXOaj8PK2l7WJ3RER9xtqwdhxkhw/edit?usp=sharing"",""อ่างทอง!L494"")"),10800)</f>
        <v>10800</v>
      </c>
      <c r="M599" s="165"/>
      <c r="N599" s="169">
        <f ca="1">IFERROR(__xludf.DUMMYFUNCTION("IMPORTRANGE(""https://docs.google.com/spreadsheets/d/1SX6NBoVAgQJ6U1MVXOaj8PK2l7WJ3RER9xtqwdhxkhw/edit?usp=sharing"",""อ่างทอง!M494"")"),1170)</f>
        <v>1170</v>
      </c>
      <c r="O599" s="169">
        <f t="shared" ca="1" si="126"/>
        <v>10.833333333333334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IFERROR(__xludf.DUMMYFUNCTION("IMPORTRANGE(""https://docs.google.com/spreadsheets/d/1SX6NBoVAgQJ6U1MVXOaj8PK2l7WJ3RER9xtqwdhxkhw/edit?usp=sharing"",""อ่างทอง!L495"")"),0)</f>
        <v>0</v>
      </c>
      <c r="M600" s="169"/>
      <c r="N600" s="169">
        <f ca="1">IFERROR(__xludf.DUMMYFUNCTION("IMPORTRANGE(""https://docs.google.com/spreadsheets/d/1SX6NBoVAgQJ6U1MVXOaj8PK2l7WJ3RER9xtqwdhxkhw/edit?usp=sharing"",""อ่างทอง!M495"")"),0)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IFERROR(__xludf.DUMMYFUNCTION("IMPORTRANGE(""https://docs.google.com/spreadsheets/d/1SX6NBoVAgQJ6U1MVXOaj8PK2l7WJ3RER9xtqwdhxkhw/edit?usp=sharing"",""อ่างทอง!L496"")"),10800)</f>
        <v>10800</v>
      </c>
      <c r="M601" s="169"/>
      <c r="N601" s="169">
        <f ca="1">IFERROR(__xludf.DUMMYFUNCTION("IMPORTRANGE(""https://docs.google.com/spreadsheets/d/1SX6NBoVAgQJ6U1MVXOaj8PK2l7WJ3RER9xtqwdhxkhw/edit?usp=sharing"",""อ่างทอง!M496"")"),1170)</f>
        <v>1170</v>
      </c>
      <c r="O601" s="169">
        <f t="shared" ca="1" si="126"/>
        <v>10.833333333333334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IFERROR(__xludf.DUMMYFUNCTION("IMPORTRANGE(""https://docs.google.com/spreadsheets/d/1SX6NBoVAgQJ6U1MVXOaj8PK2l7WJ3RER9xtqwdhxkhw/edit?usp=sharing"",""อ่างทอง!M497"")"),0)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IFERROR(__xludf.DUMMYFUNCTION("IMPORTRANGE(""https://docs.google.com/spreadsheets/d/1SX6NBoVAgQJ6U1MVXOaj8PK2l7WJ3RER9xtqwdhxkhw/edit?usp=sharing"",""อ่างทอง!M498"")"),0)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IFERROR(__xludf.DUMMYFUNCTION("IMPORTRANGE(""https://docs.google.com/spreadsheets/d/1SX6NBoVAgQJ6U1MVXOaj8PK2l7WJ3RER9xtqwdhxkhw/edit?usp=sharing"",""อ่างทอง!J502"")"),0)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IFERROR(__xludf.DUMMYFUNCTION("IMPORTRANGE(""https://docs.google.com/spreadsheets/d/1SX6NBoVAgQJ6U1MVXOaj8PK2l7WJ3RER9xtqwdhxkhw/edit?usp=sharing"",""อ่างทอง!J503"")"),1)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IFERROR(__xludf.DUMMYFUNCTION("IMPORTRANGE(""https://docs.google.com/spreadsheets/d/1SX6NBoVAgQJ6U1MVXOaj8PK2l7WJ3RER9xtqwdhxkhw/edit?usp=sharing"",""อ่างทอง!J166"")"),0)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IFERROR(__xludf.DUMMYFUNCTION("IMPORTRANGE(""https://docs.google.com/spreadsheets/d/1SX6NBoVAgQJ6U1MVXOaj8PK2l7WJ3RER9xtqwdhxkhw/edit?usp=sharing"",""อ่างทอง!J166"")"),0)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IFERROR(__xludf.DUMMYFUNCTION("IMPORTRANGE(""https://docs.google.com/spreadsheets/d/1SX6NBoVAgQJ6U1MVXOaj8PK2l7WJ3RER9xtqwdhxkhw/edit?usp=sharing"",""อ่างทอง!I506"")"),80)</f>
        <v>80</v>
      </c>
      <c r="J611" s="162">
        <f ca="1">IFERROR(__xludf.DUMMYFUNCTION("IMPORTRANGE(""https://docs.google.com/spreadsheets/d/1SX6NBoVAgQJ6U1MVXOaj8PK2l7WJ3RER9xtqwdhxkhw/edit?usp=sharing"",""อ่างทอง!J506"")"),0)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IFERROR(__xludf.DUMMYFUNCTION("IMPORTRANGE(""https://docs.google.com/spreadsheets/d/1SX6NBoVAgQJ6U1MVXOaj8PK2l7WJ3RER9xtqwdhxkhw/edit?usp=sharing"",""อ่างทอง!I507"")"),0)</f>
        <v>0</v>
      </c>
      <c r="J612" s="198">
        <f ca="1">IFERROR(__xludf.DUMMYFUNCTION("IMPORTRANGE(""https://docs.google.com/spreadsheets/d/1SX6NBoVAgQJ6U1MVXOaj8PK2l7WJ3RER9xtqwdhxkhw/edit?usp=sharing"",""อ่างทอง!J507"")"),418)</f>
        <v>418</v>
      </c>
      <c r="K612" s="163">
        <f t="shared" ca="1" si="127"/>
        <v>522.5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IFERROR(__xludf.DUMMYFUNCTION("IMPORTRANGE(""https://docs.google.com/spreadsheets/d/1SX6NBoVAgQJ6U1MVXOaj8PK2l7WJ3RER9xtqwdhxkhw/edit?usp=sharing"",""อ่างทอง!I508"")"),0)</f>
        <v>0</v>
      </c>
      <c r="J613" s="198">
        <f ca="1">IFERROR(__xludf.DUMMYFUNCTION("IMPORTRANGE(""https://docs.google.com/spreadsheets/d/1SX6NBoVAgQJ6U1MVXOaj8PK2l7WJ3RER9xtqwdhxkhw/edit?usp=sharing"",""อ่างทอง!J508"")"),0)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IFERROR(__xludf.DUMMYFUNCTION("IMPORTRANGE(""https://docs.google.com/spreadsheets/d/1SX6NBoVAgQJ6U1MVXOaj8PK2l7WJ3RER9xtqwdhxkhw/edit?usp=sharing"",""อ่างทอง!I509"")"),0)</f>
        <v>0</v>
      </c>
      <c r="J614" s="198">
        <f ca="1">IFERROR(__xludf.DUMMYFUNCTION("IMPORTRANGE(""https://docs.google.com/spreadsheets/d/1SX6NBoVAgQJ6U1MVXOaj8PK2l7WJ3RER9xtqwdhxkhw/edit?usp=sharing"",""อ่างทอง!J509"")"),0)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IFERROR(__xludf.DUMMYFUNCTION("IMPORTRANGE(""https://docs.google.com/spreadsheets/d/1SX6NBoVAgQJ6U1MVXOaj8PK2l7WJ3RER9xtqwdhxkhw/edit?usp=sharing"",""อ่างทอง!I510"")"),0)</f>
        <v>0</v>
      </c>
      <c r="J615" s="198">
        <f ca="1">IFERROR(__xludf.DUMMYFUNCTION("IMPORTRANGE(""https://docs.google.com/spreadsheets/d/1SX6NBoVAgQJ6U1MVXOaj8PK2l7WJ3RER9xtqwdhxkhw/edit?usp=sharing"",""อ่างทอง!J510"")"),0)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IFERROR(__xludf.DUMMYFUNCTION("IMPORTRANGE(""https://docs.google.com/spreadsheets/d/1SX6NBoVAgQJ6U1MVXOaj8PK2l7WJ3RER9xtqwdhxkhw/edit?usp=sharing"",""อ่างทอง!I511"")"),0)</f>
        <v>0</v>
      </c>
      <c r="J616" s="198">
        <f ca="1">IFERROR(__xludf.DUMMYFUNCTION("IMPORTRANGE(""https://docs.google.com/spreadsheets/d/1SX6NBoVAgQJ6U1MVXOaj8PK2l7WJ3RER9xtqwdhxkhw/edit?usp=sharing"",""อ่างทอง!J511"")"),0)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IFERROR(__xludf.DUMMYFUNCTION("IMPORTRANGE(""https://docs.google.com/spreadsheets/d/1SX6NBoVAgQJ6U1MVXOaj8PK2l7WJ3RER9xtqwdhxkhw/edit?usp=sharing"",""อ่างทอง!I512"")"),0)</f>
        <v>0</v>
      </c>
      <c r="J617" s="188">
        <f ca="1">IFERROR(__xludf.DUMMYFUNCTION("IMPORTRANGE(""https://docs.google.com/spreadsheets/d/1SX6NBoVAgQJ6U1MVXOaj8PK2l7WJ3RER9xtqwdhxkhw/edit?usp=sharing"",""อ่างทอง!J512"")"),0)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IFERROR(__xludf.DUMMYFUNCTION("IMPORTRANGE(""https://docs.google.com/spreadsheets/d/1SX6NBoVAgQJ6U1MVXOaj8PK2l7WJ3RER9xtqwdhxkhw/edit?usp=sharing"",""อ่างทอง!I513"")"),0)</f>
        <v>0</v>
      </c>
      <c r="J618" s="189">
        <f ca="1">IFERROR(__xludf.DUMMYFUNCTION("IMPORTRANGE(""https://docs.google.com/spreadsheets/d/1SX6NBoVAgQJ6U1MVXOaj8PK2l7WJ3RER9xtqwdhxkhw/edit?usp=sharing"",""อ่างทอง!J513"")"),0)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IFERROR(__xludf.DUMMYFUNCTION("IMPORTRANGE(""https://docs.google.com/spreadsheets/d/1SX6NBoVAgQJ6U1MVXOaj8PK2l7WJ3RER9xtqwdhxkhw/edit?usp=sharing"",""อ่างทอง!I514"")"),0)</f>
        <v>0</v>
      </c>
      <c r="J619" s="189">
        <f ca="1">IFERROR(__xludf.DUMMYFUNCTION("IMPORTRANGE(""https://docs.google.com/spreadsheets/d/1SX6NBoVAgQJ6U1MVXOaj8PK2l7WJ3RER9xtqwdhxkhw/edit?usp=sharing"",""อ่างทอง!J514"")"),0)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IFERROR(__xludf.DUMMYFUNCTION("IMPORTRANGE(""https://docs.google.com/spreadsheets/d/1SX6NBoVAgQJ6U1MVXOaj8PK2l7WJ3RER9xtqwdhxkhw/edit?usp=sharing"",""อ่างทอง!I515"")"),293)</f>
        <v>293</v>
      </c>
      <c r="J620" s="203">
        <f ca="1">IFERROR(__xludf.DUMMYFUNCTION("IMPORTRANGE(""https://docs.google.com/spreadsheets/d/1SX6NBoVAgQJ6U1MVXOaj8PK2l7WJ3RER9xtqwdhxkhw/edit?usp=sharing"",""อ่างทอง!J515"")"),0)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IFERROR(__xludf.DUMMYFUNCTION("IMPORTRANGE(""https://docs.google.com/spreadsheets/d/1SX6NBoVAgQJ6U1MVXOaj8PK2l7WJ3RER9xtqwdhxkhw/edit?usp=sharing"",""อ่างทอง!I516"")"),0)</f>
        <v>0</v>
      </c>
      <c r="J621" s="203">
        <f ca="1">IFERROR(__xludf.DUMMYFUNCTION("IMPORTRANGE(""https://docs.google.com/spreadsheets/d/1SX6NBoVAgQJ6U1MVXOaj8PK2l7WJ3RER9xtqwdhxkhw/edit?usp=sharing"",""อ่างทอง!J516"")"),0)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IFERROR(__xludf.DUMMYFUNCTION("IMPORTRANGE(""https://docs.google.com/spreadsheets/d/1SX6NBoVAgQJ6U1MVXOaj8PK2l7WJ3RER9xtqwdhxkhw/edit?usp=sharing"",""อ่างทอง!I517"")"),0)</f>
        <v>0</v>
      </c>
      <c r="J622" s="189">
        <f ca="1">IFERROR(__xludf.DUMMYFUNCTION("IMPORTRANGE(""https://docs.google.com/spreadsheets/d/1SX6NBoVAgQJ6U1MVXOaj8PK2l7WJ3RER9xtqwdhxkhw/edit?usp=sharing"",""อ่างทอง!J517"")"),0)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IFERROR(__xludf.DUMMYFUNCTION("IMPORTRANGE(""https://docs.google.com/spreadsheets/d/1SX6NBoVAgQJ6U1MVXOaj8PK2l7WJ3RER9xtqwdhxkhw/edit?usp=sharing"",""อ่างทอง!I518"")"),0)</f>
        <v>0</v>
      </c>
      <c r="J623" s="189">
        <f ca="1">IFERROR(__xludf.DUMMYFUNCTION("IMPORTRANGE(""https://docs.google.com/spreadsheets/d/1SX6NBoVAgQJ6U1MVXOaj8PK2l7WJ3RER9xtqwdhxkhw/edit?usp=sharing"",""อ่างทอง!J518"")"),0)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IFERROR(__xludf.DUMMYFUNCTION("IMPORTRANGE(""https://docs.google.com/spreadsheets/d/1SX6NBoVAgQJ6U1MVXOaj8PK2l7WJ3RER9xtqwdhxkhw/edit?usp=sharing"",""อ่างทอง!I519"")"),0)</f>
        <v>0</v>
      </c>
      <c r="J624" s="188">
        <f ca="1">IFERROR(__xludf.DUMMYFUNCTION("IMPORTRANGE(""https://docs.google.com/spreadsheets/d/1SX6NBoVAgQJ6U1MVXOaj8PK2l7WJ3RER9xtqwdhxkhw/edit?usp=sharing"",""อ่างทอง!J519"")"),0)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IFERROR(__xludf.DUMMYFUNCTION("IMPORTRANGE(""https://docs.google.com/spreadsheets/d/1SX6NBoVAgQJ6U1MVXOaj8PK2l7WJ3RER9xtqwdhxkhw/edit?usp=sharing"",""อ่างทอง!I520"")"),0)</f>
        <v>0</v>
      </c>
      <c r="J625" s="189">
        <f ca="1">IFERROR(__xludf.DUMMYFUNCTION("IMPORTRANGE(""https://docs.google.com/spreadsheets/d/1SX6NBoVAgQJ6U1MVXOaj8PK2l7WJ3RER9xtqwdhxkhw/edit?usp=sharing"",""อ่างทอง!J520"")"),0)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IFERROR(__xludf.DUMMYFUNCTION("IMPORTRANGE(""https://docs.google.com/spreadsheets/d/1SX6NBoVAgQJ6U1MVXOaj8PK2l7WJ3RER9xtqwdhxkhw/edit?usp=sharing"",""อ่างทอง!I521"")"),0)</f>
        <v>0</v>
      </c>
      <c r="J626" s="189">
        <f ca="1">IFERROR(__xludf.DUMMYFUNCTION("IMPORTRANGE(""https://docs.google.com/spreadsheets/d/1SX6NBoVAgQJ6U1MVXOaj8PK2l7WJ3RER9xtqwdhxkhw/edit?usp=sharing"",""อ่างทอง!J521"")"),0)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IFERROR(__xludf.DUMMYFUNCTION("IMPORTRANGE(""https://docs.google.com/spreadsheets/d/1SX6NBoVAgQJ6U1MVXOaj8PK2l7WJ3RER9xtqwdhxkhw/edit?usp=sharing"",""อ่างทอง!I523"")"),510000)</f>
        <v>510000</v>
      </c>
      <c r="J628" s="342">
        <f ca="1">IFERROR(__xludf.DUMMYFUNCTION("IMPORTRANGE(""https://docs.google.com/spreadsheets/d/1SX6NBoVAgQJ6U1MVXOaj8PK2l7WJ3RER9xtqwdhxkhw/edit?usp=sharing"",""อ่างทอง!J523"")"),270000)</f>
        <v>270000</v>
      </c>
      <c r="K628" s="343">
        <f t="shared" ref="K628:K635" ca="1" si="129">IF(I628&gt;0,J628*100/I628,0)</f>
        <v>52.941176470588232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IFERROR(__xludf.DUMMYFUNCTION("IMPORTRANGE(""https://docs.google.com/spreadsheets/d/1SX6NBoVAgQJ6U1MVXOaj8PK2l7WJ3RER9xtqwdhxkhw/edit?usp=sharing"",""อ่างทอง!I524"")"),18)</f>
        <v>18</v>
      </c>
      <c r="J629" s="342">
        <f ca="1">IFERROR(__xludf.DUMMYFUNCTION("IMPORTRANGE(""https://docs.google.com/spreadsheets/d/1SX6NBoVAgQJ6U1MVXOaj8PK2l7WJ3RER9xtqwdhxkhw/edit?usp=sharing"",""อ่างทอง!J524"")"),9)</f>
        <v>9</v>
      </c>
      <c r="K629" s="343">
        <f t="shared" ca="1" si="129"/>
        <v>50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IFERROR(__xludf.DUMMYFUNCTION("IMPORTRANGE(""https://docs.google.com/spreadsheets/d/1SX6NBoVAgQJ6U1MVXOaj8PK2l7WJ3RER9xtqwdhxkhw/edit?usp=sharing"",""อ่างทอง!I525"")"),169583.93)</f>
        <v>169583.93</v>
      </c>
      <c r="J630" s="342">
        <f ca="1">IFERROR(__xludf.DUMMYFUNCTION("IMPORTRANGE(""https://docs.google.com/spreadsheets/d/1SX6NBoVAgQJ6U1MVXOaj8PK2l7WJ3RER9xtqwdhxkhw/edit?usp=sharing"",""อ่างทอง!J525"")"),120071.11)</f>
        <v>120071.11</v>
      </c>
      <c r="K630" s="343">
        <f t="shared" ca="1" si="129"/>
        <v>70.80335383193443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IFERROR(__xludf.DUMMYFUNCTION("IMPORTRANGE(""https://docs.google.com/spreadsheets/d/1SX6NBoVAgQJ6U1MVXOaj8PK2l7WJ3RER9xtqwdhxkhw/edit?usp=sharing"",""อ่างทอง!I526"")"),6)</f>
        <v>6</v>
      </c>
      <c r="J631" s="342">
        <f ca="1">IFERROR(__xludf.DUMMYFUNCTION("IMPORTRANGE(""https://docs.google.com/spreadsheets/d/1SX6NBoVAgQJ6U1MVXOaj8PK2l7WJ3RER9xtqwdhxkhw/edit?usp=sharing"",""อ่างทอง!J526"")"),6)</f>
        <v>6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IFERROR(__xludf.DUMMYFUNCTION("IMPORTRANGE(""https://docs.google.com/spreadsheets/d/1SX6NBoVAgQJ6U1MVXOaj8PK2l7WJ3RER9xtqwdhxkhw/edit?usp=sharing"",""อ่างทอง!I527"")"),39445.31)</f>
        <v>39445.31</v>
      </c>
      <c r="J632" s="342">
        <f ca="1">IFERROR(__xludf.DUMMYFUNCTION("IMPORTRANGE(""https://docs.google.com/spreadsheets/d/1SX6NBoVAgQJ6U1MVXOaj8PK2l7WJ3RER9xtqwdhxkhw/edit?usp=sharing"",""อ่างทอง!J527"")"),30740.78)</f>
        <v>30740.78</v>
      </c>
      <c r="K632" s="343">
        <f t="shared" ca="1" si="129"/>
        <v>77.932661703000946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IFERROR(__xludf.DUMMYFUNCTION("IMPORTRANGE(""https://docs.google.com/spreadsheets/d/1SX6NBoVAgQJ6U1MVXOaj8PK2l7WJ3RER9xtqwdhxkhw/edit?usp=sharing"",""อ่างทอง!I528"")"),52)</f>
        <v>52</v>
      </c>
      <c r="J633" s="342">
        <f ca="1">IFERROR(__xludf.DUMMYFUNCTION("IMPORTRANGE(""https://docs.google.com/spreadsheets/d/1SX6NBoVAgQJ6U1MVXOaj8PK2l7WJ3RER9xtqwdhxkhw/edit?usp=sharing"",""อ่างทอง!J528"")"),41)</f>
        <v>41</v>
      </c>
      <c r="K633" s="343">
        <f t="shared" ca="1" si="129"/>
        <v>78.84615384615384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IFERROR(__xludf.DUMMYFUNCTION("IMPORTRANGE(""https://docs.google.com/spreadsheets/d/1SX6NBoVAgQJ6U1MVXOaj8PK2l7WJ3RER9xtqwdhxkhw/edit?usp=sharing"",""อ่างทอง!I529"")"),900000)</f>
        <v>900000</v>
      </c>
      <c r="J634" s="342">
        <f ca="1">IFERROR(__xludf.DUMMYFUNCTION("IMPORTRANGE(""https://docs.google.com/spreadsheets/d/1SX6NBoVAgQJ6U1MVXOaj8PK2l7WJ3RER9xtqwdhxkhw/edit?usp=sharing"",""อ่างทอง!J529"")"),0)</f>
        <v>0</v>
      </c>
      <c r="K634" s="343">
        <f t="shared" ca="1" si="129"/>
        <v>0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IFERROR(__xludf.DUMMYFUNCTION("IMPORTRANGE(""https://docs.google.com/spreadsheets/d/1SX6NBoVAgQJ6U1MVXOaj8PK2l7WJ3RER9xtqwdhxkhw/edit?usp=sharing"",""อ่างทอง!I530"")"),30)</f>
        <v>30</v>
      </c>
      <c r="J635" s="504">
        <f ca="1">IFERROR(__xludf.DUMMYFUNCTION("IMPORTRANGE(""https://docs.google.com/spreadsheets/d/1SX6NBoVAgQJ6U1MVXOaj8PK2l7WJ3RER9xtqwdhxkhw/edit?usp=sharing"",""อ่างทอง!J530"")"),0)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IFERROR(__xludf.DUMMYFUNCTION("IMPORTRANGE(""https://docs.google.com/spreadsheets/d/1SX6NBoVAgQJ6U1MVXOaj8PK2l7WJ3RER9xtqwdhxkhw/edit#gid=346597447"",""อ่างทอง!J541"")"),0)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IFERROR(__xludf.DUMMYFUNCTION("IMPORTRANGE(""https://docs.google.com/spreadsheets/d/1SX6NBoVAgQJ6U1MVXOaj8PK2l7WJ3RER9xtqwdhxkhw/edit#gid=346597447"",""อ่างทอง!J542"")"),0)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IFERROR(__xludf.DUMMYFUNCTION("IMPORTRANGE(""https://docs.google.com/spreadsheets/d/1SX6NBoVAgQJ6U1MVXOaj8PK2l7WJ3RER9xtqwdhxkhw/edit#gid=346597447"",""อ่างทอง!I543"")"),0)</f>
        <v>0</v>
      </c>
      <c r="J648" s="536">
        <f ca="1">IFERROR(__xludf.DUMMYFUNCTION("IMPORTRANGE(""https://docs.google.com/spreadsheets/d/1SX6NBoVAgQJ6U1MVXOaj8PK2l7WJ3RER9xtqwdhxkhw/edit#gid=346597447"",""อ่างทอง!J543"")"),0)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IFERROR(__xludf.DUMMYFUNCTION("IMPORTRANGE(""https://docs.google.com/spreadsheets/d/1SX6NBoVAgQJ6U1MVXOaj8PK2l7WJ3RER9xtqwdhxkhw/edit#gid=346597447"",""อ่างทอง!L543"")"),0)</f>
        <v>0</v>
      </c>
      <c r="M648" s="521"/>
      <c r="N648" s="538">
        <f ca="1">IFERROR(__xludf.DUMMYFUNCTION("IMPORTRANGE(""https://docs.google.com/spreadsheets/d/1SX6NBoVAgQJ6U1MVXOaj8PK2l7WJ3RER9xtqwdhxkhw/edit#gid=346597447"",""อ่างทอง!M543"")"),0)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IFERROR(__xludf.DUMMYFUNCTION("IMPORTRANGE(""https://docs.google.com/spreadsheets/d/1SX6NBoVAgQJ6U1MVXOaj8PK2l7WJ3RER9xtqwdhxkhw/edit#gid=346597447"",""อ่างทอง!I544"")"),0)</f>
        <v>0</v>
      </c>
      <c r="J649" s="536">
        <f ca="1">IFERROR(__xludf.DUMMYFUNCTION("IMPORTRANGE(""https://docs.google.com/spreadsheets/d/1SX6NBoVAgQJ6U1MVXOaj8PK2l7WJ3RER9xtqwdhxkhw/edit#gid=346597447"",""อ่างทอง!J544"")"),0)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IFERROR(__xludf.DUMMYFUNCTION("IMPORTRANGE(""https://docs.google.com/spreadsheets/d/1SX6NBoVAgQJ6U1MVXOaj8PK2l7WJ3RER9xtqwdhxkhw/edit#gid=346597447"",""อ่างทอง!L544"")"),0)</f>
        <v>0</v>
      </c>
      <c r="M649" s="521"/>
      <c r="N649" s="538">
        <f ca="1">IFERROR(__xludf.DUMMYFUNCTION("IMPORTRANGE(""https://docs.google.com/spreadsheets/d/1SX6NBoVAgQJ6U1MVXOaj8PK2l7WJ3RER9xtqwdhxkhw/edit#gid=346597447"",""อ่างทอง!M544"")"),0)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IFERROR(__xludf.DUMMYFUNCTION("IMPORTRANGE(""https://docs.google.com/spreadsheets/d/1SX6NBoVAgQJ6U1MVXOaj8PK2l7WJ3RER9xtqwdhxkhw/edit#gid=346597447"",""อ่างทอง!I545"")"),0)</f>
        <v>0</v>
      </c>
      <c r="J650" s="536">
        <f ca="1">IFERROR(__xludf.DUMMYFUNCTION("IMPORTRANGE(""https://docs.google.com/spreadsheets/d/1SX6NBoVAgQJ6U1MVXOaj8PK2l7WJ3RER9xtqwdhxkhw/edit#gid=346597447"",""อ่างทอง!J545"")"),0)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IFERROR(__xludf.DUMMYFUNCTION("IMPORTRANGE(""https://docs.google.com/spreadsheets/d/1SX6NBoVAgQJ6U1MVXOaj8PK2l7WJ3RER9xtqwdhxkhw/edit#gid=346597447"",""อ่างทอง!L545"")"),0)</f>
        <v>0</v>
      </c>
      <c r="M650" s="521"/>
      <c r="N650" s="538">
        <f ca="1">IFERROR(__xludf.DUMMYFUNCTION("IMPORTRANGE(""https://docs.google.com/spreadsheets/d/1SX6NBoVAgQJ6U1MVXOaj8PK2l7WJ3RER9xtqwdhxkhw/edit#gid=346597447"",""อ่างทอง!M545"")"),0)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IFERROR(__xludf.DUMMYFUNCTION("IMPORTRANGE(""https://docs.google.com/spreadsheets/d/1SX6NBoVAgQJ6U1MVXOaj8PK2l7WJ3RER9xtqwdhxkhw/edit#gid=346597447"",""อ่างทอง!I546"")"),0)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IFERROR(__xludf.DUMMYFUNCTION("IMPORTRANGE(""https://docs.google.com/spreadsheets/d/1SX6NBoVAgQJ6U1MVXOaj8PK2l7WJ3RER9xtqwdhxkhw/edit#gid=346597447"",""อ่างทอง!L546"")"),0)</f>
        <v>0</v>
      </c>
      <c r="M651" s="521"/>
      <c r="N651" s="538">
        <f ca="1">IFERROR(__xludf.DUMMYFUNCTION("IMPORTRANGE(""https://docs.google.com/spreadsheets/d/1SX6NBoVAgQJ6U1MVXOaj8PK2l7WJ3RER9xtqwdhxkhw/edit#gid=346597447"",""อ่างทอง!M546"")"),0)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IFERROR(__xludf.DUMMYFUNCTION("IMPORTRANGE(""https://docs.google.com/spreadsheets/d/1SX6NBoVAgQJ6U1MVXOaj8PK2l7WJ3RER9xtqwdhxkhw/edit#gid=346597447"",""อ่างทอง!J547"")"),0)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IFERROR(__xludf.DUMMYFUNCTION("IMPORTRANGE(""https://docs.google.com/spreadsheets/d/1SX6NBoVAgQJ6U1MVXOaj8PK2l7WJ3RER9xtqwdhxkhw/edit#gid=346597447"",""อ่างทอง!J548"")"),0)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IFERROR(__xludf.DUMMYFUNCTION("IMPORTRANGE(""https://docs.google.com/spreadsheets/d/1SX6NBoVAgQJ6U1MVXOaj8PK2l7WJ3RER9xtqwdhxkhw/edit#gid=346597447"",""อ่างทอง!J550"")"),0)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IFERROR(__xludf.DUMMYFUNCTION("IMPORTRANGE(""https://docs.google.com/spreadsheets/d/1SX6NBoVAgQJ6U1MVXOaj8PK2l7WJ3RER9xtqwdhxkhw/edit#gid=346597447"",""อ่างทอง!J551"")"),0)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IFERROR(__xludf.DUMMYFUNCTION("IMPORTRANGE(""https://docs.google.com/spreadsheets/d/1SX6NBoVAgQJ6U1MVXOaj8PK2l7WJ3RER9xtqwdhxkhw/edit#gid=346597447"",""อ่างทอง!J552"")"),0)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IFERROR(__xludf.DUMMYFUNCTION("IMPORTRANGE(""https://docs.google.com/spreadsheets/d/1SX6NBoVAgQJ6U1MVXOaj8PK2l7WJ3RER9xtqwdhxkhw/edit#gid=346597447"",""อ่างทอง!J553"")"),0)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IFERROR(__xludf.DUMMYFUNCTION("IMPORTRANGE(""https://docs.google.com/spreadsheets/d/1SX6NBoVAgQJ6U1MVXOaj8PK2l7WJ3RER9xtqwdhxkhw/edit#gid=346597447"",""อ่างทอง!J554"")"),0)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IFERROR(__xludf.DUMMYFUNCTION("IMPORTRANGE(""https://docs.google.com/spreadsheets/d/1SX6NBoVAgQJ6U1MVXOaj8PK2l7WJ3RER9xtqwdhxkhw/edit#gid=346597447"",""อ่างทอง!J555"")"),0)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IFERROR(__xludf.DUMMYFUNCTION("IMPORTRANGE(""https://docs.google.com/spreadsheets/d/1SX6NBoVAgQJ6U1MVXOaj8PK2l7WJ3RER9xtqwdhxkhw/edit#gid=346597447"",""อ่างทอง!J556"")"),0)</f>
        <v>0</v>
      </c>
      <c r="K661" s="537"/>
      <c r="L661" s="522">
        <f ca="1">IFERROR(__xludf.DUMMYFUNCTION("IMPORTRANGE(""https://docs.google.com/spreadsheets/d/1SX6NBoVAgQJ6U1MVXOaj8PK2l7WJ3RER9xtqwdhxkhw/edit#gid=346597447"",""อ่างทอง!L556"")"),0)</f>
        <v>0</v>
      </c>
      <c r="M661" s="521"/>
      <c r="N661" s="538">
        <f ca="1">IFERROR(__xludf.DUMMYFUNCTION("IMPORTRANGE(""https://docs.google.com/spreadsheets/d/1SX6NBoVAgQJ6U1MVXOaj8PK2l7WJ3RER9xtqwdhxkhw/edit#gid=346597447"",""อ่างทอง!M556"")"),0)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IFERROR(__xludf.DUMMYFUNCTION("IMPORTRANGE(""https://docs.google.com/spreadsheets/d/1SX6NBoVAgQJ6U1MVXOaj8PK2l7WJ3RER9xtqwdhxkhw/edit#gid=346597447"",""อ่างทอง!J557"")"),0)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IFERROR(__xludf.DUMMYFUNCTION("IMPORTRANGE(""https://docs.google.com/spreadsheets/d/1SX6NBoVAgQJ6U1MVXOaj8PK2l7WJ3RER9xtqwdhxkhw/edit#gid=346597447"",""อ่างทอง!I558"")"),0)</f>
        <v>0</v>
      </c>
      <c r="J663" s="536">
        <f ca="1">IFERROR(__xludf.DUMMYFUNCTION("IMPORTRANGE(""https://docs.google.com/spreadsheets/d/1SX6NBoVAgQJ6U1MVXOaj8PK2l7WJ3RER9xtqwdhxkhw/edit#gid=346597447"",""อ่างทอง!J558"")"),0)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IFERROR(__xludf.DUMMYFUNCTION("IMPORTRANGE(""https://docs.google.com/spreadsheets/d/1SX6NBoVAgQJ6U1MVXOaj8PK2l7WJ3RER9xtqwdhxkhw/edit#gid=346597447"",""อ่างทอง!I560"")"),0)</f>
        <v>0</v>
      </c>
      <c r="J665" s="536">
        <f ca="1">IFERROR(__xludf.DUMMYFUNCTION("IMPORTRANGE(""https://docs.google.com/spreadsheets/d/1SX6NBoVAgQJ6U1MVXOaj8PK2l7WJ3RER9xtqwdhxkhw/edit#gid=346597447"",""อ่างทอง!J560"")"),0)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IFERROR(__xludf.DUMMYFUNCTION("IMPORTRANGE(""https://docs.google.com/spreadsheets/d/1SX6NBoVAgQJ6U1MVXOaj8PK2l7WJ3RER9xtqwdhxkhw/edit#gid=346597447"",""อ่างทอง!L560"")"),0)</f>
        <v>0</v>
      </c>
      <c r="M665" s="521"/>
      <c r="N665" s="538">
        <f ca="1">IFERROR(__xludf.DUMMYFUNCTION("IMPORTRANGE(""https://docs.google.com/spreadsheets/d/1SX6NBoVAgQJ6U1MVXOaj8PK2l7WJ3RER9xtqwdhxkhw/edit#gid=346597447"",""อ่างทอง!M560"")"),0)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IFERROR(__xludf.DUMMYFUNCTION("IMPORTRANGE(""https://docs.google.com/spreadsheets/d/1SX6NBoVAgQJ6U1MVXOaj8PK2l7WJ3RER9xtqwdhxkhw/edit#gid=346597447"",""อ่างทอง!J561"")"),0)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IFERROR(__xludf.DUMMYFUNCTION("IMPORTRANGE(""https://docs.google.com/spreadsheets/d/1SX6NBoVAgQJ6U1MVXOaj8PK2l7WJ3RER9xtqwdhxkhw/edit#gid=346597447"",""อ่างทอง!J562"")"),0)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IFERROR(__xludf.DUMMYFUNCTION("IMPORTRANGE(""https://docs.google.com/spreadsheets/d/1SX6NBoVAgQJ6U1MVXOaj8PK2l7WJ3RER9xtqwdhxkhw/edit#gid=346597447"",""อ่างทอง!I563"")"),0)</f>
        <v>0</v>
      </c>
      <c r="J668" s="536">
        <f ca="1">IFERROR(__xludf.DUMMYFUNCTION("IMPORTRANGE(""https://docs.google.com/spreadsheets/d/1SX6NBoVAgQJ6U1MVXOaj8PK2l7WJ3RER9xtqwdhxkhw/edit#gid=346597447"",""อ่างทอง!J563"")"),0)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IFERROR(__xludf.DUMMYFUNCTION("IMPORTRANGE(""https://docs.google.com/spreadsheets/d/1SX6NBoVAgQJ6U1MVXOaj8PK2l7WJ3RER9xtqwdhxkhw/edit#gid=346597447"",""อ่างทอง!L563"")"),0)</f>
        <v>0</v>
      </c>
      <c r="M668" s="521"/>
      <c r="N668" s="538">
        <f ca="1">IFERROR(__xludf.DUMMYFUNCTION("IMPORTRANGE(""https://docs.google.com/spreadsheets/d/1SX6NBoVAgQJ6U1MVXOaj8PK2l7WJ3RER9xtqwdhxkhw/edit#gid=346597447"",""อ่างทอง!M563"")"),0)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IFERROR(__xludf.DUMMYFUNCTION("IMPORTRANGE(""https://docs.google.com/spreadsheets/d/1SX6NBoVAgQJ6U1MVXOaj8PK2l7WJ3RER9xtqwdhxkhw/edit#gid=346597447"",""อ่างทอง!J564"")"),0)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IFERROR(__xludf.DUMMYFUNCTION("IMPORTRANGE(""https://docs.google.com/spreadsheets/d/1SX6NBoVAgQJ6U1MVXOaj8PK2l7WJ3RER9xtqwdhxkhw/edit#gid=346597447"",""อ่างทอง!J565"")"),0)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IFERROR(__xludf.DUMMYFUNCTION("IMPORTRANGE(""https://docs.google.com/spreadsheets/d/1SX6NBoVAgQJ6U1MVXOaj8PK2l7WJ3RER9xtqwdhxkhw/edit#gid=346597447"",""อ่างทอง!I566"")"),0)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IFERROR(__xludf.DUMMYFUNCTION("IMPORTRANGE(""https://docs.google.com/spreadsheets/d/1SX6NBoVAgQJ6U1MVXOaj8PK2l7WJ3RER9xtqwdhxkhw/edit#gid=346597447"",""อ่างทอง!L566"")"),0)</f>
        <v>0</v>
      </c>
      <c r="M671" s="521"/>
      <c r="N671" s="538">
        <f ca="1">IFERROR(__xludf.DUMMYFUNCTION("IMPORTRANGE(""https://docs.google.com/spreadsheets/d/1SX6NBoVAgQJ6U1MVXOaj8PK2l7WJ3RER9xtqwdhxkhw/edit#gid=346597447"",""อ่างทอง!M566"")"),0)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IFERROR(__xludf.DUMMYFUNCTION("IMPORTRANGE(""https://docs.google.com/spreadsheets/d/1SX6NBoVAgQJ6U1MVXOaj8PK2l7WJ3RER9xtqwdhxkhw/edit#gid=346597447"",""อ่างทอง!J567"")"),0)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IFERROR(__xludf.DUMMYFUNCTION("IMPORTRANGE(""https://docs.google.com/spreadsheets/d/1SX6NBoVAgQJ6U1MVXOaj8PK2l7WJ3RER9xtqwdhxkhw/edit#gid=346597447"",""อ่างทอง!J568"")"),0)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IFERROR(__xludf.DUMMYFUNCTION("IMPORTRANGE(""https://docs.google.com/spreadsheets/d/1SX6NBoVAgQJ6U1MVXOaj8PK2l7WJ3RER9xtqwdhxkhw/edit#gid=346597447"",""อ่างทอง!J569"")"),0)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IFERROR(__xludf.DUMMYFUNCTION("IMPORTRANGE(""https://docs.google.com/spreadsheets/d/1SX6NBoVAgQJ6U1MVXOaj8PK2l7WJ3RER9xtqwdhxkhw/edit#gid=346597447"",""อ่างทอง!J570"")"),0)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IFERROR(__xludf.DUMMYFUNCTION("IMPORTRANGE(""https://docs.google.com/spreadsheets/d/1SX6NBoVAgQJ6U1MVXOaj8PK2l7WJ3RER9xtqwdhxkhw/edit#gid=346597447"",""อ่างทอง!J571"")"),0)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IFERROR(__xludf.DUMMYFUNCTION("IMPORTRANGE(""https://docs.google.com/spreadsheets/d/1SX6NBoVAgQJ6U1MVXOaj8PK2l7WJ3RER9xtqwdhxkhw/edit#gid=346597447"",""อ่างทอง!J572"")"),0)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262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4162768</v>
      </c>
      <c r="M8" s="23">
        <f t="shared" ca="1" si="0"/>
        <v>2650015</v>
      </c>
      <c r="N8" s="23">
        <f t="shared" ca="1" si="0"/>
        <v>2136268.5499999998</v>
      </c>
      <c r="O8" s="22">
        <f t="shared" ref="O8:O16" ca="1" si="1">IF(L8&gt;0,N8*100/L8,0)</f>
        <v>51.318462859328207</v>
      </c>
      <c r="P8" s="22">
        <f t="shared" ref="P8:P16" ca="1" si="2">IF(M8&gt;0,N8*100/M8,0)</f>
        <v>80.61345124461559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4162768</v>
      </c>
      <c r="M10" s="30">
        <f t="shared" ca="1" si="4"/>
        <v>2650015</v>
      </c>
      <c r="N10" s="30">
        <f t="shared" ca="1" si="4"/>
        <v>2136268.5499999998</v>
      </c>
      <c r="O10" s="29">
        <f t="shared" ca="1" si="1"/>
        <v>51.318462859328207</v>
      </c>
      <c r="P10" s="29">
        <f t="shared" ca="1" si="2"/>
        <v>80.61345124461559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3872668</v>
      </c>
      <c r="M12" s="38">
        <f t="shared" ca="1" si="6"/>
        <v>2359915</v>
      </c>
      <c r="N12" s="38">
        <f t="shared" ca="1" si="6"/>
        <v>1846168.55</v>
      </c>
      <c r="O12" s="38">
        <f t="shared" ca="1" si="1"/>
        <v>47.671748520658113</v>
      </c>
      <c r="P12" s="38">
        <f t="shared" ca="1" si="2"/>
        <v>78.230298548888413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1494300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2378368</v>
      </c>
      <c r="M14" s="38">
        <f t="shared" si="8"/>
        <v>0</v>
      </c>
      <c r="N14" s="38">
        <f t="shared" ca="1" si="8"/>
        <v>306744</v>
      </c>
      <c r="O14" s="38">
        <f t="shared" ca="1" si="1"/>
        <v>12.897247187987729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290100</v>
      </c>
      <c r="M16" s="38">
        <f t="shared" ca="1" si="10"/>
        <v>290100</v>
      </c>
      <c r="N16" s="38">
        <f t="shared" ca="1" si="10"/>
        <v>290100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3130545</v>
      </c>
      <c r="M18" s="23">
        <f t="shared" ca="1" si="11"/>
        <v>2650015</v>
      </c>
      <c r="N18" s="23">
        <f t="shared" ca="1" si="11"/>
        <v>1829524.55</v>
      </c>
      <c r="O18" s="22">
        <f t="shared" ref="O18:O20" ca="1" si="12">IF(L18&gt;0,N18*100/L18,0)</f>
        <v>58.441087733924924</v>
      </c>
      <c r="P18" s="22">
        <f t="shared" ref="P18:P26" ca="1" si="13">IF(M18&gt;0,N18*100/M18,0)</f>
        <v>69.038271481482184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3130545</v>
      </c>
      <c r="M20" s="30">
        <f t="shared" ca="1" si="15"/>
        <v>2650015</v>
      </c>
      <c r="N20" s="30">
        <f t="shared" ca="1" si="15"/>
        <v>1829524.55</v>
      </c>
      <c r="O20" s="29">
        <f t="shared" ca="1" si="12"/>
        <v>58.441087733924924</v>
      </c>
      <c r="P20" s="29">
        <f t="shared" ca="1" si="13"/>
        <v>69.038271481482184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2840445</v>
      </c>
      <c r="M22" s="41">
        <f t="shared" ca="1" si="18"/>
        <v>2359915</v>
      </c>
      <c r="N22" s="38">
        <f t="shared" ca="1" si="18"/>
        <v>1539424.55</v>
      </c>
      <c r="O22" s="38">
        <f t="shared" ca="1" si="17"/>
        <v>54.196597716202916</v>
      </c>
      <c r="P22" s="38">
        <f t="shared" ca="1" si="13"/>
        <v>65.23220327850791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1494300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1346145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290100</v>
      </c>
      <c r="M26" s="49">
        <f t="shared" ca="1" si="22"/>
        <v>290100</v>
      </c>
      <c r="N26" s="49">
        <f t="shared" ca="1" si="22"/>
        <v>290100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1032223</v>
      </c>
      <c r="M28" s="23">
        <f t="shared" si="23"/>
        <v>0</v>
      </c>
      <c r="N28" s="23">
        <f t="shared" ca="1" si="23"/>
        <v>306744</v>
      </c>
      <c r="O28" s="22">
        <f t="shared" ref="O28:O30" ca="1" si="24">IF(L28&gt;0,N28*100/L28,0)</f>
        <v>29.71683444372001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1032223</v>
      </c>
      <c r="M30" s="30">
        <f t="shared" si="27"/>
        <v>0</v>
      </c>
      <c r="N30" s="30">
        <f t="shared" ca="1" si="27"/>
        <v>306744</v>
      </c>
      <c r="O30" s="29">
        <f t="shared" ca="1" si="24"/>
        <v>29.71683444372001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1032223</v>
      </c>
      <c r="M32" s="38">
        <f t="shared" si="30"/>
        <v>0</v>
      </c>
      <c r="N32" s="38">
        <f t="shared" ca="1" si="30"/>
        <v>306744</v>
      </c>
      <c r="O32" s="38">
        <f t="shared" ca="1" si="29"/>
        <v>29.71683444372001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1032223</v>
      </c>
      <c r="M34" s="38">
        <f t="shared" si="32"/>
        <v>0</v>
      </c>
      <c r="N34" s="38">
        <f t="shared" ca="1" si="32"/>
        <v>306744</v>
      </c>
      <c r="O34" s="38">
        <f t="shared" ca="1" si="29"/>
        <v>29.71683444372001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3130545</v>
      </c>
      <c r="M37" s="54">
        <f t="shared" ca="1" si="33"/>
        <v>2650015</v>
      </c>
      <c r="N37" s="54">
        <f t="shared" ca="1" si="33"/>
        <v>1829524.55</v>
      </c>
      <c r="O37" s="55">
        <f t="shared" ca="1" si="29"/>
        <v>58.441087733924924</v>
      </c>
      <c r="P37" s="55">
        <f t="shared" ca="1" si="25"/>
        <v>69.038271481482184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614100</v>
      </c>
      <c r="M41" s="78">
        <f t="shared" ca="1" si="34"/>
        <v>460600</v>
      </c>
      <c r="N41" s="78">
        <f t="shared" ca="1" si="34"/>
        <v>363595.54</v>
      </c>
      <c r="O41" s="77">
        <f t="shared" ref="O41:O43" ca="1" si="35">IF(L41&gt;0,N41*100/L41,0)</f>
        <v>59.207871682136457</v>
      </c>
      <c r="P41" s="77">
        <f t="shared" ref="P41:P43" ca="1" si="36">IF(M41&gt;0,N41*100/M41,0)</f>
        <v>78.939544072948323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614100</v>
      </c>
      <c r="M43" s="78">
        <f t="shared" ca="1" si="38"/>
        <v>460600</v>
      </c>
      <c r="N43" s="78">
        <f t="shared" ca="1" si="38"/>
        <v>363595.54</v>
      </c>
      <c r="O43" s="77">
        <f t="shared" ca="1" si="35"/>
        <v>59.207871682136457</v>
      </c>
      <c r="P43" s="77">
        <f t="shared" ca="1" si="36"/>
        <v>78.939544072948323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614100</v>
      </c>
      <c r="M45" s="49">
        <f ca="1">IFERROR(__xludf.DUMMYFUNCTION("IMPORTRANGE(""https://docs.google.com/spreadsheets/d/1Yj_ptqi66GCucihVvJfMjLAmec39IyEx_6qawtMGysU/edit?usp=sharing"",""สบก!Q60"")"),460600)</f>
        <v>460600</v>
      </c>
      <c r="N45" s="49">
        <f ca="1">IFERROR(__xludf.DUMMYFUNCTION("IMPORTRANGE(""https://docs.google.com/spreadsheets/d/1Yj_ptqi66GCucihVvJfMjLAmec39IyEx_6qawtMGysU/edit?usp=sharing"",""สบก!R60"")"),363595.54)</f>
        <v>363595.54</v>
      </c>
      <c r="O45" s="38">
        <f ca="1">IF(L45&gt;0,N45*100/L45,0)</f>
        <v>59.207871682136457</v>
      </c>
      <c r="P45" s="38">
        <f ca="1">IF(M45&gt;0,N45*100/M45,0)</f>
        <v>78.939544072948323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IFERROR(__xludf.DUMMYFUNCTION("IMPORTRANGE(""https://docs.google.com/spreadsheets/d/1Yj_ptqi66GCucihVvJfMjLAmec39IyEx_6qawtMGysU/edit?usp=sharing"",""สบก!M60"")"),614100)</f>
        <v>614100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IFERROR(__xludf.DUMMYFUNCTION("IMPORTRANGE(""https://docs.google.com/spreadsheets/d/1Yj_ptqi66GCucihVvJfMjLAmec39IyEx_6qawtMGysU/edit?usp=sharing"",""สบก!O60"")"),0)</f>
        <v>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267000</v>
      </c>
      <c r="M53" s="121">
        <f t="shared" ca="1" si="39"/>
        <v>256245</v>
      </c>
      <c r="N53" s="121">
        <f t="shared" ca="1" si="39"/>
        <v>192372</v>
      </c>
      <c r="O53" s="120">
        <f t="shared" ref="O53:O55" ca="1" si="40">IF(L53&gt;0,N53*100/L53,0)</f>
        <v>72.049438202247188</v>
      </c>
      <c r="P53" s="120">
        <f t="shared" ref="P53:P55" ca="1" si="41">IF(M53&gt;0,N53*100/M53,0)</f>
        <v>75.073464848094602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267000</v>
      </c>
      <c r="M55" s="121">
        <f t="shared" ca="1" si="43"/>
        <v>256245</v>
      </c>
      <c r="N55" s="121">
        <f t="shared" ca="1" si="43"/>
        <v>192372</v>
      </c>
      <c r="O55" s="120">
        <f t="shared" ca="1" si="40"/>
        <v>72.049438202247188</v>
      </c>
      <c r="P55" s="120">
        <f t="shared" ca="1" si="41"/>
        <v>75.073464848094602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267000</v>
      </c>
      <c r="M57" s="49">
        <f ca="1">IFERROR(__xludf.DUMMYFUNCTION("IMPORTRANGE(""https://docs.google.com/spreadsheets/d/1Yj_ptqi66GCucihVvJfMjLAmec39IyEx_6qawtMGysU/edit?usp=sharing"",""สบก!Z60"")"),256245)</f>
        <v>256245</v>
      </c>
      <c r="N57" s="49">
        <f ca="1">IFERROR(__xludf.DUMMYFUNCTION("IMPORTRANGE(""https://docs.google.com/spreadsheets/d/1Yj_ptqi66GCucihVvJfMjLAmec39IyEx_6qawtMGysU/edit?usp=sharing"",""สบก!AA60"")"),192372)</f>
        <v>192372</v>
      </c>
      <c r="O57" s="38">
        <f ca="1">IF(L57&gt;0,N57*100/L57,0)</f>
        <v>72.049438202247188</v>
      </c>
      <c r="P57" s="38">
        <f ca="1">IF(M57&gt;0,N57*100/M57,0)</f>
        <v>75.073464848094602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IFERROR(__xludf.DUMMYFUNCTION("IMPORTRANGE(""https://docs.google.com/spreadsheets/d/1Yj_ptqi66GCucihVvJfMjLAmec39IyEx_6qawtMGysU/edit?usp=sharing"",""สบก!V60"")"),267000)</f>
        <v>267000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1003300</v>
      </c>
      <c r="M66" s="152">
        <f t="shared" ca="1" si="45"/>
        <v>887120</v>
      </c>
      <c r="N66" s="152">
        <f t="shared" ca="1" si="45"/>
        <v>531944.01</v>
      </c>
      <c r="O66" s="151">
        <f t="shared" ref="O66:O68" ca="1" si="46">IF(L66&gt;0,N66*100/L66,0)</f>
        <v>53.019436858367385</v>
      </c>
      <c r="P66" s="151">
        <f t="shared" ref="P66:P68" ca="1" si="47">IF(M66&gt;0,N66*100/M66,0)</f>
        <v>59.963027549824147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1003300</v>
      </c>
      <c r="M68" s="157">
        <f t="shared" ca="1" si="49"/>
        <v>887120</v>
      </c>
      <c r="N68" s="157">
        <f t="shared" ca="1" si="49"/>
        <v>531944.01</v>
      </c>
      <c r="O68" s="156">
        <f t="shared" ca="1" si="46"/>
        <v>53.019436858367385</v>
      </c>
      <c r="P68" s="156">
        <f t="shared" ca="1" si="47"/>
        <v>59.963027549824147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713200</v>
      </c>
      <c r="M70" s="168">
        <f ca="1">IFERROR(__xludf.DUMMYFUNCTION("IMPORTRANGE(""https://docs.google.com/spreadsheets/d/1Yj_ptqi66GCucihVvJfMjLAmec39IyEx_6qawtMGysU/edit?usp=sharing"",""สบก!AI60"")"),597020)</f>
        <v>597020</v>
      </c>
      <c r="N70" s="169">
        <f ca="1">IFERROR(__xludf.DUMMYFUNCTION("IMPORTRANGE(""https://docs.google.com/spreadsheets/d/1Yj_ptqi66GCucihVvJfMjLAmec39IyEx_6qawtMGysU/edit?usp=sharing"",""สบก!AJ60"")"),241844.01)</f>
        <v>241844.01</v>
      </c>
      <c r="O70" s="169">
        <f ca="1">IF(L70&gt;0,N70*100/L70,0)</f>
        <v>33.909704150308471</v>
      </c>
      <c r="P70" s="169">
        <f ca="1">IF(M70&gt;0,N70*100/M70,0)</f>
        <v>40.508527352517504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IFERROR(__xludf.DUMMYFUNCTION("IMPORTRANGE(""https://docs.google.com/spreadsheets/d/1Yj_ptqi66GCucihVvJfMjLAmec39IyEx_6qawtMGysU/edit?usp=sharing"",""สบก!AE60"")"),175200)</f>
        <v>175200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IFERROR(__xludf.DUMMYFUNCTION("IMPORTRANGE(""https://docs.google.com/spreadsheets/d/1Yj_ptqi66GCucihVvJfMjLAmec39IyEx_6qawtMGysU/edit?usp=sharing"",""สบก!AF60"")"),538000)</f>
        <v>538000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IFERROR(__xludf.DUMMYFUNCTION("IMPORTRANGE(""https://docs.google.com/spreadsheets/d/1SX6NBoVAgQJ6U1MVXOaj8PK2l7WJ3RER9xtqwdhxkhw/edit?usp=sharing"",""จันทบุรี!J16"")"),0)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IFERROR(__xludf.DUMMYFUNCTION("IMPORTRANGE(""https://docs.google.com/spreadsheets/d/1SX6NBoVAgQJ6U1MVXOaj8PK2l7WJ3RER9xtqwdhxkhw/edit?usp=sharing"",""จันทบุรี!J17"")"),1)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IFERROR(__xludf.DUMMYFUNCTION("IMPORTRANGE(""https://docs.google.com/spreadsheets/d/1SX6NBoVAgQJ6U1MVXOaj8PK2l7WJ3RER9xtqwdhxkhw/edit?usp=sharing"",""จันทบุรี!J18"")"),1)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IFERROR(__xludf.DUMMYFUNCTION("IMPORTRANGE(""https://docs.google.com/spreadsheets/d/1SX6NBoVAgQJ6U1MVXOaj8PK2l7WJ3RER9xtqwdhxkhw/edit?usp=sharing"",""จันทบุรี!J19"")"),1)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IFERROR(__xludf.DUMMYFUNCTION("IMPORTRANGE(""https://docs.google.com/spreadsheets/d/1SX6NBoVAgQJ6U1MVXOaj8PK2l7WJ3RER9xtqwdhxkhw/edit?usp=sharing"",""จันทบุรี!I20"")"),1)</f>
        <v>1</v>
      </c>
      <c r="J80" s="201">
        <f ca="1">IFERROR(__xludf.DUMMYFUNCTION("IMPORTRANGE(""https://docs.google.com/spreadsheets/d/1SX6NBoVAgQJ6U1MVXOaj8PK2l7WJ3RER9xtqwdhxkhw/edit?usp=sharing"",""จันทบุรี!J20"")"),1)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IFERROR(__xludf.DUMMYFUNCTION("IMPORTRANGE(""https://docs.google.com/spreadsheets/d/1SX6NBoVAgQJ6U1MVXOaj8PK2l7WJ3RER9xtqwdhxkhw/edit?usp=sharing"",""จันทบุรี!I21"")"),60)</f>
        <v>60</v>
      </c>
      <c r="J81" s="201">
        <f ca="1">IFERROR(__xludf.DUMMYFUNCTION("IMPORTRANGE(""https://docs.google.com/spreadsheets/d/1SX6NBoVAgQJ6U1MVXOaj8PK2l7WJ3RER9xtqwdhxkhw/edit?usp=sharing"",""จันทบุรี!J21"")"),60)</f>
        <v>60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IFERROR(__xludf.DUMMYFUNCTION("IMPORTRANGE(""https://docs.google.com/spreadsheets/d/1SX6NBoVAgQJ6U1MVXOaj8PK2l7WJ3RER9xtqwdhxkhw/edit?usp=sharing"",""จันทบุรี!I22"")"),0)</f>
        <v>0</v>
      </c>
      <c r="J82" s="204">
        <f ca="1">IFERROR(__xludf.DUMMYFUNCTION("IMPORTRANGE(""https://docs.google.com/spreadsheets/d/1SX6NBoVAgQJ6U1MVXOaj8PK2l7WJ3RER9xtqwdhxkhw/edit?usp=sharing"",""จันทบุรี!J22"")"),0)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IFERROR(__xludf.DUMMYFUNCTION("IMPORTRANGE(""https://docs.google.com/spreadsheets/d/1SX6NBoVAgQJ6U1MVXOaj8PK2l7WJ3RER9xtqwdhxkhw/edit?usp=sharing"",""จันทบุรี!I23"")"),0)</f>
        <v>0</v>
      </c>
      <c r="J83" s="204">
        <f ca="1">IFERROR(__xludf.DUMMYFUNCTION("IMPORTRANGE(""https://docs.google.com/spreadsheets/d/1SX6NBoVAgQJ6U1MVXOaj8PK2l7WJ3RER9xtqwdhxkhw/edit?usp=sharing"",""จันทบุรี!J23"")"),0)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IFERROR(__xludf.DUMMYFUNCTION("IMPORTRANGE(""https://docs.google.com/spreadsheets/d/1SX6NBoVAgQJ6U1MVXOaj8PK2l7WJ3RER9xtqwdhxkhw/edit?usp=sharing"",""จันทบุรี!I24"")"),0)</f>
        <v>0</v>
      </c>
      <c r="J84" s="189">
        <f ca="1">IFERROR(__xludf.DUMMYFUNCTION("IMPORTRANGE(""https://docs.google.com/spreadsheets/d/1SX6NBoVAgQJ6U1MVXOaj8PK2l7WJ3RER9xtqwdhxkhw/edit?usp=sharing"",""จันทบุรี!J24"")"),0)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IFERROR(__xludf.DUMMYFUNCTION("IMPORTRANGE(""https://docs.google.com/spreadsheets/d/1SX6NBoVAgQJ6U1MVXOaj8PK2l7WJ3RER9xtqwdhxkhw/edit?usp=sharing"",""จันทบุรี!I25"")"),0)</f>
        <v>0</v>
      </c>
      <c r="J85" s="189">
        <f ca="1">IFERROR(__xludf.DUMMYFUNCTION("IMPORTRANGE(""https://docs.google.com/spreadsheets/d/1SX6NBoVAgQJ6U1MVXOaj8PK2l7WJ3RER9xtqwdhxkhw/edit?usp=sharing"",""จันทบุรี!J25"")"),0)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IFERROR(__xludf.DUMMYFUNCTION("IMPORTRANGE(""https://docs.google.com/spreadsheets/d/1SX6NBoVAgQJ6U1MVXOaj8PK2l7WJ3RER9xtqwdhxkhw/edit?usp=sharing"",""จันทบุรี!I26"")"),1)</f>
        <v>1</v>
      </c>
      <c r="J86" s="204">
        <f ca="1">IFERROR(__xludf.DUMMYFUNCTION("IMPORTRANGE(""https://docs.google.com/spreadsheets/d/1SX6NBoVAgQJ6U1MVXOaj8PK2l7WJ3RER9xtqwdhxkhw/edit?usp=sharing"",""จันทบุรี!J26"")"),1)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IFERROR(__xludf.DUMMYFUNCTION("IMPORTRANGE(""https://docs.google.com/spreadsheets/d/1SX6NBoVAgQJ6U1MVXOaj8PK2l7WJ3RER9xtqwdhxkhw/edit?usp=sharing"",""จันทบุรี!I27"")"),60)</f>
        <v>60</v>
      </c>
      <c r="J87" s="204">
        <f ca="1">IFERROR(__xludf.DUMMYFUNCTION("IMPORTRANGE(""https://docs.google.com/spreadsheets/d/1SX6NBoVAgQJ6U1MVXOaj8PK2l7WJ3RER9xtqwdhxkhw/edit?usp=sharing"",""จันทบุรี!J27"")"),60)</f>
        <v>60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IFERROR(__xludf.DUMMYFUNCTION("IMPORTRANGE(""https://docs.google.com/spreadsheets/d/1SX6NBoVAgQJ6U1MVXOaj8PK2l7WJ3RER9xtqwdhxkhw/edit?usp=sharing"",""จันทบุรี!I28"")"),1)</f>
        <v>1</v>
      </c>
      <c r="J88" s="204">
        <f ca="1">IFERROR(__xludf.DUMMYFUNCTION("IMPORTRANGE(""https://docs.google.com/spreadsheets/d/1SX6NBoVAgQJ6U1MVXOaj8PK2l7WJ3RER9xtqwdhxkhw/edit?usp=sharing"",""จันทบุรี!J28"")"),0)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IFERROR(__xludf.DUMMYFUNCTION("IMPORTRANGE(""https://docs.google.com/spreadsheets/d/1SX6NBoVAgQJ6U1MVXOaj8PK2l7WJ3RER9xtqwdhxkhw/edit?usp=sharing"",""จันทบุรี!J29"")"),0)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IFERROR(__xludf.DUMMYFUNCTION("IMPORTRANGE(""https://docs.google.com/spreadsheets/d/1SX6NBoVAgQJ6U1MVXOaj8PK2l7WJ3RER9xtqwdhxkhw/edit?usp=sharing"",""จันทบุรี!J30"")"),0)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IFERROR(__xludf.DUMMYFUNCTION("IMPORTRANGE(""https://docs.google.com/spreadsheets/d/1Yj_ptqi66GCucihVvJfMjLAmec39IyEx_6qawtMGysU/edit?usp=sharing"",""สบก!AR60"")"),0)</f>
        <v>0</v>
      </c>
      <c r="N98" s="169">
        <f ca="1">IFERROR(__xludf.DUMMYFUNCTION("IMPORTRANGE(""https://docs.google.com/spreadsheets/d/1Yj_ptqi66GCucihVvJfMjLAmec39IyEx_6qawtMGysU/edit?usp=sharing"",""สบก!AS60"")"),0)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IFERROR(__xludf.DUMMYFUNCTION("IMPORTRANGE(""https://docs.google.com/spreadsheets/d/1SX6NBoVAgQJ6U1MVXOaj8PK2l7WJ3RER9xtqwdhxkhw/edit?usp=sharing"",""จันทบุรี!J39"")"),0)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IFERROR(__xludf.DUMMYFUNCTION("IMPORTRANGE(""https://docs.google.com/spreadsheets/d/1SX6NBoVAgQJ6U1MVXOaj8PK2l7WJ3RER9xtqwdhxkhw/edit?usp=sharing"",""จันทบุรี!J40"")"),0)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IFERROR(__xludf.DUMMYFUNCTION("IMPORTRANGE(""https://docs.google.com/spreadsheets/d/1SX6NBoVAgQJ6U1MVXOaj8PK2l7WJ3RER9xtqwdhxkhw/edit?usp=sharing"",""จันทบุรี!J41"")"),0)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IFERROR(__xludf.DUMMYFUNCTION("IMPORTRANGE(""https://docs.google.com/spreadsheets/d/1SX6NBoVAgQJ6U1MVXOaj8PK2l7WJ3RER9xtqwdhxkhw/edit?usp=sharing"",""จันทบุรี!J42"")"),0)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IFERROR(__xludf.DUMMYFUNCTION("IMPORTRANGE(""https://docs.google.com/spreadsheets/d/1SX6NBoVAgQJ6U1MVXOaj8PK2l7WJ3RER9xtqwdhxkhw/edit?usp=sharing"",""จันทบุรี!I43"")"),0)</f>
        <v>0</v>
      </c>
      <c r="J108" s="204">
        <f ca="1">IFERROR(__xludf.DUMMYFUNCTION("IMPORTRANGE(""https://docs.google.com/spreadsheets/d/1SX6NBoVAgQJ6U1MVXOaj8PK2l7WJ3RER9xtqwdhxkhw/edit?usp=sharing"",""จันทบุรี!J43"")"),0)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IFERROR(__xludf.DUMMYFUNCTION("IMPORTRANGE(""https://docs.google.com/spreadsheets/d/1SX6NBoVAgQJ6U1MVXOaj8PK2l7WJ3RER9xtqwdhxkhw/edit?usp=sharing"",""จันทบุรี!I44"")"),0)</f>
        <v>0</v>
      </c>
      <c r="J109" s="204">
        <f ca="1">IFERROR(__xludf.DUMMYFUNCTION("IMPORTRANGE(""https://docs.google.com/spreadsheets/d/1SX6NBoVAgQJ6U1MVXOaj8PK2l7WJ3RER9xtqwdhxkhw/edit?usp=sharing"",""จันทบุรี!J44"")"),0)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IFERROR(__xludf.DUMMYFUNCTION("IMPORTRANGE(""https://docs.google.com/spreadsheets/d/1SX6NBoVAgQJ6U1MVXOaj8PK2l7WJ3RER9xtqwdhxkhw/edit?usp=sharing"",""จันทบุรี!I45"")"),0)</f>
        <v>0</v>
      </c>
      <c r="J110" s="204">
        <f ca="1">IFERROR(__xludf.DUMMYFUNCTION("IMPORTRANGE(""https://docs.google.com/spreadsheets/d/1SX6NBoVAgQJ6U1MVXOaj8PK2l7WJ3RER9xtqwdhxkhw/edit?usp=sharing"",""จันทบุรี!J45"")"),0)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IFERROR(__xludf.DUMMYFUNCTION("IMPORTRANGE(""https://docs.google.com/spreadsheets/d/1SX6NBoVAgQJ6U1MVXOaj8PK2l7WJ3RER9xtqwdhxkhw/edit?usp=sharing"",""จันทบุรี!I46"")"),0)</f>
        <v>0</v>
      </c>
      <c r="J111" s="204">
        <f ca="1">IFERROR(__xludf.DUMMYFUNCTION("IMPORTRANGE(""https://docs.google.com/spreadsheets/d/1SX6NBoVAgQJ6U1MVXOaj8PK2l7WJ3RER9xtqwdhxkhw/edit?usp=sharing"",""จันทบุรี!J46"")"),0)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IFERROR(__xludf.DUMMYFUNCTION("IMPORTRANGE(""https://docs.google.com/spreadsheets/d/1SX6NBoVAgQJ6U1MVXOaj8PK2l7WJ3RER9xtqwdhxkhw/edit?usp=sharing"",""จันทบุรี!I47"")"),0)</f>
        <v>0</v>
      </c>
      <c r="J112" s="204">
        <f ca="1">IFERROR(__xludf.DUMMYFUNCTION("IMPORTRANGE(""https://docs.google.com/spreadsheets/d/1SX6NBoVAgQJ6U1MVXOaj8PK2l7WJ3RER9xtqwdhxkhw/edit?usp=sharing"",""จันทบุรี!J47"")"),0)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IFERROR(__xludf.DUMMYFUNCTION("IMPORTRANGE(""https://docs.google.com/spreadsheets/d/1SX6NBoVAgQJ6U1MVXOaj8PK2l7WJ3RER9xtqwdhxkhw/edit?usp=sharing"",""จันทบุรี!I48"")"),0)</f>
        <v>0</v>
      </c>
      <c r="J113" s="204">
        <f ca="1">IFERROR(__xludf.DUMMYFUNCTION("IMPORTRANGE(""https://docs.google.com/spreadsheets/d/1SX6NBoVAgQJ6U1MVXOaj8PK2l7WJ3RER9xtqwdhxkhw/edit?usp=sharing"",""จันทบุรี!J48"")"),0)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IFERROR(__xludf.DUMMYFUNCTION("IMPORTRANGE(""https://docs.google.com/spreadsheets/d/1SX6NBoVAgQJ6U1MVXOaj8PK2l7WJ3RER9xtqwdhxkhw/edit?usp=sharing"",""จันทบุรี!J49"")"),0)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IFERROR(__xludf.DUMMYFUNCTION("IMPORTRANGE(""https://docs.google.com/spreadsheets/d/1SX6NBoVAgQJ6U1MVXOaj8PK2l7WJ3RER9xtqwdhxkhw/edit?usp=sharing"",""จันทบุรี!J50"")"),0)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IFERROR(__xludf.DUMMYFUNCTION("IMPORTRANGE(""https://docs.google.com/spreadsheets/d/1Yj_ptqi66GCucihVvJfMjLAmec39IyEx_6qawtMGysU/edit?usp=sharing"",""สบก!BA60"")"),0)</f>
        <v>0</v>
      </c>
      <c r="N122" s="169">
        <f ca="1">IFERROR(__xludf.DUMMYFUNCTION("IMPORTRANGE(""https://docs.google.com/spreadsheets/d/1Yj_ptqi66GCucihVvJfMjLAmec39IyEx_6qawtMGysU/edit?usp=sharing"",""สบก!BB60"")"),0)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IFERROR(__xludf.DUMMYFUNCTION("IMPORTRANGE(""https://docs.google.com/spreadsheets/d/1Yj_ptqi66GCucihVvJfMjLAmec39IyEx_6qawtMGysU/edit?usp=sharing"",""สบก!AX60"")"),0)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IFERROR(__xludf.DUMMYFUNCTION("IMPORTRANGE(""https://docs.google.com/spreadsheets/d/1SX6NBoVAgQJ6U1MVXOaj8PK2l7WJ3RER9xtqwdhxkhw/edit?usp=sharing"",""จันทบุรี!J58"")"),0)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IFERROR(__xludf.DUMMYFUNCTION("IMPORTRANGE(""https://docs.google.com/spreadsheets/d/1SX6NBoVAgQJ6U1MVXOaj8PK2l7WJ3RER9xtqwdhxkhw/edit?usp=sharing"",""จันทบุรี!J59"")"),0)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IFERROR(__xludf.DUMMYFUNCTION("IMPORTRANGE(""https://docs.google.com/spreadsheets/d/1SX6NBoVAgQJ6U1MVXOaj8PK2l7WJ3RER9xtqwdhxkhw/edit?usp=sharing"",""จันทบุรี!J60"")"),0)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IFERROR(__xludf.DUMMYFUNCTION("IMPORTRANGE(""https://docs.google.com/spreadsheets/d/1SX6NBoVAgQJ6U1MVXOaj8PK2l7WJ3RER9xtqwdhxkhw/edit?usp=sharing"",""จันทบุรี!J61"")"),0)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IFERROR(__xludf.DUMMYFUNCTION("IMPORTRANGE(""https://docs.google.com/spreadsheets/d/1SX6NBoVAgQJ6U1MVXOaj8PK2l7WJ3RER9xtqwdhxkhw/edit?usp=sharing"",""จันทบุรี!I62"")"),0)</f>
        <v>0</v>
      </c>
      <c r="J132" s="204">
        <f ca="1">IFERROR(__xludf.DUMMYFUNCTION("IMPORTRANGE(""https://docs.google.com/spreadsheets/d/1SX6NBoVAgQJ6U1MVXOaj8PK2l7WJ3RER9xtqwdhxkhw/edit?usp=sharing"",""จันทบุรี!J62"")"),0)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IFERROR(__xludf.DUMMYFUNCTION("IMPORTRANGE(""https://docs.google.com/spreadsheets/d/1SX6NBoVAgQJ6U1MVXOaj8PK2l7WJ3RER9xtqwdhxkhw/edit?usp=sharing"",""จันทบุรี!I63"")"),0)</f>
        <v>0</v>
      </c>
      <c r="J133" s="204">
        <f ca="1">IFERROR(__xludf.DUMMYFUNCTION("IMPORTRANGE(""https://docs.google.com/spreadsheets/d/1SX6NBoVAgQJ6U1MVXOaj8PK2l7WJ3RER9xtqwdhxkhw/edit?usp=sharing"",""จันทบุรี!J63"")"),0)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IFERROR(__xludf.DUMMYFUNCTION("IMPORTRANGE(""https://docs.google.com/spreadsheets/d/1SX6NBoVAgQJ6U1MVXOaj8PK2l7WJ3RER9xtqwdhxkhw/edit?usp=sharing"",""จันทบุรี!J64"")"),0)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IFERROR(__xludf.DUMMYFUNCTION("IMPORTRANGE(""https://docs.google.com/spreadsheets/d/1SX6NBoVAgQJ6U1MVXOaj8PK2l7WJ3RER9xtqwdhxkhw/edit?usp=sharing"",""จันทบุรี!J65"")"),0)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IFERROR(__xludf.DUMMYFUNCTION("IMPORTRANGE(""https://docs.google.com/spreadsheets/d/1SX6NBoVAgQJ6U1MVXOaj8PK2l7WJ3RER9xtqwdhxkhw/edit?usp=sharing"",""จันทบุรี!I68"")"),20)</f>
        <v>20</v>
      </c>
      <c r="J138" s="268">
        <f ca="1">IFERROR(__xludf.DUMMYFUNCTION("IMPORTRANGE(""https://docs.google.com/spreadsheets/d/1SX6NBoVAgQJ6U1MVXOaj8PK2l7WJ3RER9xtqwdhxkhw/edit?usp=sharing"",""จันทบุรี!J68"")"),20)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255400</v>
      </c>
      <c r="M140" s="152">
        <f t="shared" ca="1" si="64"/>
        <v>198425</v>
      </c>
      <c r="N140" s="152">
        <f t="shared" ca="1" si="64"/>
        <v>139461</v>
      </c>
      <c r="O140" s="151">
        <f t="shared" ref="O140:O142" ca="1" si="65">IF(L140&gt;0,N140*100/L140,0)</f>
        <v>54.604933437744712</v>
      </c>
      <c r="P140" s="151">
        <f t="shared" ref="P140:P142" ca="1" si="66">IF(M140&gt;0,N140*100/M140,0)</f>
        <v>70.283986392843644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255400</v>
      </c>
      <c r="M142" s="157">
        <f t="shared" ca="1" si="68"/>
        <v>198425</v>
      </c>
      <c r="N142" s="157">
        <f t="shared" ca="1" si="68"/>
        <v>139461</v>
      </c>
      <c r="O142" s="156">
        <f t="shared" ca="1" si="65"/>
        <v>54.604933437744712</v>
      </c>
      <c r="P142" s="156">
        <f t="shared" ca="1" si="66"/>
        <v>70.283986392843644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255400</v>
      </c>
      <c r="M144" s="168">
        <f ca="1">IFERROR(__xludf.DUMMYFUNCTION("IMPORTRANGE(""https://docs.google.com/spreadsheets/d/1Yj_ptqi66GCucihVvJfMjLAmec39IyEx_6qawtMGysU/edit?usp=sharing"",""สบก!BJ60"")"),198425)</f>
        <v>198425</v>
      </c>
      <c r="N144" s="169">
        <f ca="1">IFERROR(__xludf.DUMMYFUNCTION("IMPORTRANGE(""https://docs.google.com/spreadsheets/d/1Yj_ptqi66GCucihVvJfMjLAmec39IyEx_6qawtMGysU/edit?usp=sharing"",""สบก!BK60"")"),139461)</f>
        <v>139461</v>
      </c>
      <c r="O144" s="169">
        <f ca="1">IF(L144&gt;0,N144*100/L144,0)</f>
        <v>54.604933437744712</v>
      </c>
      <c r="P144" s="169">
        <f ca="1">IF(M144&gt;0,N144*100/M144,0)</f>
        <v>70.283986392843644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IFERROR(__xludf.DUMMYFUNCTION("IMPORTRANGE(""https://docs.google.com/spreadsheets/d/1Yj_ptqi66GCucihVvJfMjLAmec39IyEx_6qawtMGysU/edit?usp=sharing"",""สบก!BF60"")"),132000)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IFERROR(__xludf.DUMMYFUNCTION("IMPORTRANGE(""https://docs.google.com/spreadsheets/d/1Yj_ptqi66GCucihVvJfMjLAmec39IyEx_6qawtMGysU/edit?usp=sharing"",""สบก!BG60"")"),123400)</f>
        <v>123400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IFERROR(__xludf.DUMMYFUNCTION("IMPORTRANGE(""https://docs.google.com/spreadsheets/d/1SX6NBoVAgQJ6U1MVXOaj8PK2l7WJ3RER9xtqwdhxkhw/edit?usp=sharing"",""จันทบุรี!I74"")"),4)</f>
        <v>4</v>
      </c>
      <c r="J149" s="276">
        <f ca="1">IFERROR(__xludf.DUMMYFUNCTION("IMPORTRANGE(""https://docs.google.com/spreadsheets/d/1SX6NBoVAgQJ6U1MVXOaj8PK2l7WJ3RER9xtqwdhxkhw/edit?usp=sharing"",""จันทบุรี!J74"")"),3)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IFERROR(__xludf.DUMMYFUNCTION("IMPORTRANGE(""https://docs.google.com/spreadsheets/d/1SX6NBoVAgQJ6U1MVXOaj8PK2l7WJ3RER9xtqwdhxkhw/edit?usp=sharing"",""จันทบุรี!J79"")"),0)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IFERROR(__xludf.DUMMYFUNCTION("IMPORTRANGE(""https://docs.google.com/spreadsheets/d/1SX6NBoVAgQJ6U1MVXOaj8PK2l7WJ3RER9xtqwdhxkhw/edit?usp=sharing"",""จันทบุรี!J80"")"),1)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IFERROR(__xludf.DUMMYFUNCTION("IMPORTRANGE(""https://docs.google.com/spreadsheets/d/1SX6NBoVAgQJ6U1MVXOaj8PK2l7WJ3RER9xtqwdhxkhw/edit?usp=sharing"",""จันทบุรี!J81"")"),1)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IFERROR(__xludf.DUMMYFUNCTION("IMPORTRANGE(""https://docs.google.com/spreadsheets/d/1SX6NBoVAgQJ6U1MVXOaj8PK2l7WJ3RER9xtqwdhxkhw/edit?usp=sharing"",""จันทบุรี!J82"")"),1)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IFERROR(__xludf.DUMMYFUNCTION("IMPORTRANGE(""https://docs.google.com/spreadsheets/d/1SX6NBoVAgQJ6U1MVXOaj8PK2l7WJ3RER9xtqwdhxkhw/edit?usp=sharing"",""จันทบุรี!I83"")"),4)</f>
        <v>4</v>
      </c>
      <c r="J158" s="189">
        <f ca="1">IFERROR(__xludf.DUMMYFUNCTION("IMPORTRANGE(""https://docs.google.com/spreadsheets/d/1SX6NBoVAgQJ6U1MVXOaj8PK2l7WJ3RER9xtqwdhxkhw/edit?usp=sharing"",""จันทบุรี!J83"")"),3)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IFERROR(__xludf.DUMMYFUNCTION("IMPORTRANGE(""https://docs.google.com/spreadsheets/d/1SX6NBoVAgQJ6U1MVXOaj8PK2l7WJ3RER9xtqwdhxkhw/edit?usp=sharing"",""จันทบุรี!J84"")"),176)</f>
        <v>176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IFERROR(__xludf.DUMMYFUNCTION("IMPORTRANGE(""https://docs.google.com/spreadsheets/d/1SX6NBoVAgQJ6U1MVXOaj8PK2l7WJ3RER9xtqwdhxkhw/edit?usp=sharing"",""จันทบุรี!J85"")"),176)</f>
        <v>176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IFERROR(__xludf.DUMMYFUNCTION("IMPORTRANGE(""https://docs.google.com/spreadsheets/d/1SX6NBoVAgQJ6U1MVXOaj8PK2l7WJ3RER9xtqwdhxkhw/edit?usp=sharing"",""จันทบุรี!J86"")"),0)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IFERROR(__xludf.DUMMYFUNCTION("IMPORTRANGE(""https://docs.google.com/spreadsheets/d/1SX6NBoVAgQJ6U1MVXOaj8PK2l7WJ3RER9xtqwdhxkhw/edit?usp=sharing"",""จันทบุรี!J87"")"),0)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IFERROR(__xludf.DUMMYFUNCTION("IMPORTRANGE(""https://docs.google.com/spreadsheets/d/1SX6NBoVAgQJ6U1MVXOaj8PK2l7WJ3RER9xtqwdhxkhw/edit?usp=sharing"",""จันทบุรี!J88"")"),0)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IFERROR(__xludf.DUMMYFUNCTION("IMPORTRANGE(""https://docs.google.com/spreadsheets/d/1SX6NBoVAgQJ6U1MVXOaj8PK2l7WJ3RER9xtqwdhxkhw/edit?usp=sharing"",""จันทบุรี!I89"")"),2)</f>
        <v>2</v>
      </c>
      <c r="J164" s="285">
        <f ca="1">IFERROR(__xludf.DUMMYFUNCTION("IMPORTRANGE(""https://docs.google.com/spreadsheets/d/1SX6NBoVAgQJ6U1MVXOaj8PK2l7WJ3RER9xtqwdhxkhw/edit?usp=sharing"",""จันทบุรี!J89"")"),2)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IFERROR(__xludf.DUMMYFUNCTION("IMPORTRANGE(""https://docs.google.com/spreadsheets/d/1SX6NBoVAgQJ6U1MVXOaj8PK2l7WJ3RER9xtqwdhxkhw/edit?usp=sharing"",""จันทบุรี!J94"")"),0)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IFERROR(__xludf.DUMMYFUNCTION("IMPORTRANGE(""https://docs.google.com/spreadsheets/d/1SX6NBoVAgQJ6U1MVXOaj8PK2l7WJ3RER9xtqwdhxkhw/edit?usp=sharing"",""จันทบุรี!J95"")"),1)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IFERROR(__xludf.DUMMYFUNCTION("IMPORTRANGE(""https://docs.google.com/spreadsheets/d/1SX6NBoVAgQJ6U1MVXOaj8PK2l7WJ3RER9xtqwdhxkhw/edit?usp=sharing"",""จันทบุรี!J96"")"),1)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IFERROR(__xludf.DUMMYFUNCTION("IMPORTRANGE(""https://docs.google.com/spreadsheets/d/1SX6NBoVAgQJ6U1MVXOaj8PK2l7WJ3RER9xtqwdhxkhw/edit?usp=sharing"",""จันทบุรี!J97"")"),1)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IFERROR(__xludf.DUMMYFUNCTION("IMPORTRANGE(""https://docs.google.com/spreadsheets/d/1SX6NBoVAgQJ6U1MVXOaj8PK2l7WJ3RER9xtqwdhxkhw/edit?usp=sharing"",""จันทบุรี!I98"")"),2)</f>
        <v>2</v>
      </c>
      <c r="J173" s="189">
        <f ca="1">IFERROR(__xludf.DUMMYFUNCTION("IMPORTRANGE(""https://docs.google.com/spreadsheets/d/1SX6NBoVAgQJ6U1MVXOaj8PK2l7WJ3RER9xtqwdhxkhw/edit?usp=sharing"",""จันทบุรี!J98"")"),2)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IFERROR(__xludf.DUMMYFUNCTION("IMPORTRANGE(""https://docs.google.com/spreadsheets/d/1SX6NBoVAgQJ6U1MVXOaj8PK2l7WJ3RER9xtqwdhxkhw/edit?usp=sharing"",""จันทบุรี!J99"")"),0)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IFERROR(__xludf.DUMMYFUNCTION("IMPORTRANGE(""https://docs.google.com/spreadsheets/d/1SX6NBoVAgQJ6U1MVXOaj8PK2l7WJ3RER9xtqwdhxkhw/edit?usp=sharing"",""จันทบุรี!J100"")"),0)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IFERROR(__xludf.DUMMYFUNCTION("IMPORTRANGE(""https://docs.google.com/spreadsheets/d/1SX6NBoVAgQJ6U1MVXOaj8PK2l7WJ3RER9xtqwdhxkhw/edit?usp=sharing"",""จันทบุรี!I101"")"),1)</f>
        <v>1</v>
      </c>
      <c r="J176" s="285">
        <f ca="1">IFERROR(__xludf.DUMMYFUNCTION("IMPORTRANGE(""https://docs.google.com/spreadsheets/d/1SX6NBoVAgQJ6U1MVXOaj8PK2l7WJ3RER9xtqwdhxkhw/edit?usp=sharing"",""จันทบุรี!J101"")"),1)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IFERROR(__xludf.DUMMYFUNCTION("IMPORTRANGE(""https://docs.google.com/spreadsheets/d/1SX6NBoVAgQJ6U1MVXOaj8PK2l7WJ3RER9xtqwdhxkhw/edit?usp=sharing"",""จันทบุรี!J106"")"),0)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IFERROR(__xludf.DUMMYFUNCTION("IMPORTRANGE(""https://docs.google.com/spreadsheets/d/1SX6NBoVAgQJ6U1MVXOaj8PK2l7WJ3RER9xtqwdhxkhw/edit?usp=sharing"",""จันทบุรี!J107"")"),1)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IFERROR(__xludf.DUMMYFUNCTION("IMPORTRANGE(""https://docs.google.com/spreadsheets/d/1SX6NBoVAgQJ6U1MVXOaj8PK2l7WJ3RER9xtqwdhxkhw/edit?usp=sharing"",""จันทบุรี!J108"")"),1)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IFERROR(__xludf.DUMMYFUNCTION("IMPORTRANGE(""https://docs.google.com/spreadsheets/d/1SX6NBoVAgQJ6U1MVXOaj8PK2l7WJ3RER9xtqwdhxkhw/edit?usp=sharing"",""จันทบุรี!J109"")"),1)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IFERROR(__xludf.DUMMYFUNCTION("IMPORTRANGE(""https://docs.google.com/spreadsheets/d/1SX6NBoVAgQJ6U1MVXOaj8PK2l7WJ3RER9xtqwdhxkhw/edit?usp=sharing"",""จันทบุรี!I110"")"),1)</f>
        <v>1</v>
      </c>
      <c r="J185" s="204">
        <f ca="1">IFERROR(__xludf.DUMMYFUNCTION("IMPORTRANGE(""https://docs.google.com/spreadsheets/d/1SX6NBoVAgQJ6U1MVXOaj8PK2l7WJ3RER9xtqwdhxkhw/edit?usp=sharing"",""จันทบุรี!J110"")"),1)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IFERROR(__xludf.DUMMYFUNCTION("IMPORTRANGE(""https://docs.google.com/spreadsheets/d/1SX6NBoVAgQJ6U1MVXOaj8PK2l7WJ3RER9xtqwdhxkhw/edit?usp=sharing"",""จันทบุรี!I111"")"),1)</f>
        <v>1</v>
      </c>
      <c r="J186" s="204">
        <f ca="1">IFERROR(__xludf.DUMMYFUNCTION("IMPORTRANGE(""https://docs.google.com/spreadsheets/d/1SX6NBoVAgQJ6U1MVXOaj8PK2l7WJ3RER9xtqwdhxkhw/edit?usp=sharing"",""จันทบุรี!J111"")"),1)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IFERROR(__xludf.DUMMYFUNCTION("IMPORTRANGE(""https://docs.google.com/spreadsheets/d/1SX6NBoVAgQJ6U1MVXOaj8PK2l7WJ3RER9xtqwdhxkhw/edit?usp=sharing"",""จันทบุรี!J112"")"),0)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IFERROR(__xludf.DUMMYFUNCTION("IMPORTRANGE(""https://docs.google.com/spreadsheets/d/1SX6NBoVAgQJ6U1MVXOaj8PK2l7WJ3RER9xtqwdhxkhw/edit?usp=sharing"",""จันทบุรี!J113"")"),0)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IFERROR(__xludf.DUMMYFUNCTION("IMPORTRANGE(""https://docs.google.com/spreadsheets/d/1SX6NBoVAgQJ6U1MVXOaj8PK2l7WJ3RER9xtqwdhxkhw/edit?usp=sharing"",""จันทบุรี!I114"")"),12800)</f>
        <v>12800</v>
      </c>
      <c r="J189" s="285">
        <f ca="1">IFERROR(__xludf.DUMMYFUNCTION("IMPORTRANGE(""https://docs.google.com/spreadsheets/d/1SX6NBoVAgQJ6U1MVXOaj8PK2l7WJ3RER9xtqwdhxkhw/edit?usp=sharing"",""จันทบุรี!J114"")"),0)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IFERROR(__xludf.DUMMYFUNCTION("IMPORTRANGE(""https://docs.google.com/spreadsheets/d/1SX6NBoVAgQJ6U1MVXOaj8PK2l7WJ3RER9xtqwdhxkhw/edit?usp=sharing"",""จันทบุรี!J119"")"),0)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IFERROR(__xludf.DUMMYFUNCTION("IMPORTRANGE(""https://docs.google.com/spreadsheets/d/1SX6NBoVAgQJ6U1MVXOaj8PK2l7WJ3RER9xtqwdhxkhw/edit?usp=sharing"",""จันทบุรี!J120"")"),1)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IFERROR(__xludf.DUMMYFUNCTION("IMPORTRANGE(""https://docs.google.com/spreadsheets/d/1SX6NBoVAgQJ6U1MVXOaj8PK2l7WJ3RER9xtqwdhxkhw/edit?usp=sharing"",""จันทบุรี!J121"")"),1)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IFERROR(__xludf.DUMMYFUNCTION("IMPORTRANGE(""https://docs.google.com/spreadsheets/d/1SX6NBoVAgQJ6U1MVXOaj8PK2l7WJ3RER9xtqwdhxkhw/edit?usp=sharing"",""จันทบุรี!J122"")"),1)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IFERROR(__xludf.DUMMYFUNCTION("IMPORTRANGE(""https://docs.google.com/spreadsheets/d/1SX6NBoVAgQJ6U1MVXOaj8PK2l7WJ3RER9xtqwdhxkhw/edit?usp=sharing"",""จันทบุรี!I124"")"),12800)</f>
        <v>12800</v>
      </c>
      <c r="J199" s="189">
        <f ca="1">IFERROR(__xludf.DUMMYFUNCTION("IMPORTRANGE(""https://docs.google.com/spreadsheets/d/1SX6NBoVAgQJ6U1MVXOaj8PK2l7WJ3RER9xtqwdhxkhw/edit?usp=sharing"",""จันทบุรี!J124"")"),12800)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IFERROR(__xludf.DUMMYFUNCTION("IMPORTRANGE(""https://docs.google.com/spreadsheets/d/1SX6NBoVAgQJ6U1MVXOaj8PK2l7WJ3RER9xtqwdhxkhw/edit?usp=sharing"",""จันทบุรี!I125"")"),12800)</f>
        <v>12800</v>
      </c>
      <c r="J200" s="189">
        <f ca="1">IFERROR(__xludf.DUMMYFUNCTION("IMPORTRANGE(""https://docs.google.com/spreadsheets/d/1SX6NBoVAgQJ6U1MVXOaj8PK2l7WJ3RER9xtqwdhxkhw/edit?usp=sharing"",""จันทบุรี!J125"")"),0)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IFERROR(__xludf.DUMMYFUNCTION("IMPORTRANGE(""https://docs.google.com/spreadsheets/d/1SX6NBoVAgQJ6U1MVXOaj8PK2l7WJ3RER9xtqwdhxkhw/edit?usp=sharing"",""จันทบุรี!I126"")"),0)</f>
        <v>0</v>
      </c>
      <c r="J201" s="189">
        <f ca="1">IFERROR(__xludf.DUMMYFUNCTION("IMPORTRANGE(""https://docs.google.com/spreadsheets/d/1SX6NBoVAgQJ6U1MVXOaj8PK2l7WJ3RER9xtqwdhxkhw/edit?usp=sharing"",""จันทบุรี!J126"")"),0)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IFERROR(__xludf.DUMMYFUNCTION("IMPORTRANGE(""https://docs.google.com/spreadsheets/d/1SX6NBoVAgQJ6U1MVXOaj8PK2l7WJ3RER9xtqwdhxkhw/edit?usp=sharing"",""จันทบุรี!J127"")"),0)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IFERROR(__xludf.DUMMYFUNCTION("IMPORTRANGE(""https://docs.google.com/spreadsheets/d/1SX6NBoVAgQJ6U1MVXOaj8PK2l7WJ3RER9xtqwdhxkhw/edit?usp=sharing"",""จันทบุรี!J128"")"),0)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IFERROR(__xludf.DUMMYFUNCTION("IMPORTRANGE(""https://docs.google.com/spreadsheets/d/1SX6NBoVAgQJ6U1MVXOaj8PK2l7WJ3RER9xtqwdhxkhw/edit?usp=sharing"",""จันทบุรี!I129"")"),20)</f>
        <v>20</v>
      </c>
      <c r="J204" s="285">
        <f ca="1">IFERROR(__xludf.DUMMYFUNCTION("IMPORTRANGE(""https://docs.google.com/spreadsheets/d/1SX6NBoVAgQJ6U1MVXOaj8PK2l7WJ3RER9xtqwdhxkhw/edit?usp=sharing"",""จันทบุรี!J129"")"),20)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IFERROR(__xludf.DUMMYFUNCTION("IMPORTRANGE(""https://docs.google.com/spreadsheets/d/1SX6NBoVAgQJ6U1MVXOaj8PK2l7WJ3RER9xtqwdhxkhw/edit?usp=sharing"",""จันทบุรี!J134"")"),0)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IFERROR(__xludf.DUMMYFUNCTION("IMPORTRANGE(""https://docs.google.com/spreadsheets/d/1SX6NBoVAgQJ6U1MVXOaj8PK2l7WJ3RER9xtqwdhxkhw/edit?usp=sharing"",""จันทบุรี!J135"")"),1)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IFERROR(__xludf.DUMMYFUNCTION("IMPORTRANGE(""https://docs.google.com/spreadsheets/d/1SX6NBoVAgQJ6U1MVXOaj8PK2l7WJ3RER9xtqwdhxkhw/edit?usp=sharing"",""จันทบุรี!J136"")"),1)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IFERROR(__xludf.DUMMYFUNCTION("IMPORTRANGE(""https://docs.google.com/spreadsheets/d/1SX6NBoVAgQJ6U1MVXOaj8PK2l7WJ3RER9xtqwdhxkhw/edit?usp=sharing"",""จันทบุรี!J137"")"),1)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IFERROR(__xludf.DUMMYFUNCTION("IMPORTRANGE(""https://docs.google.com/spreadsheets/d/1SX6NBoVAgQJ6U1MVXOaj8PK2l7WJ3RER9xtqwdhxkhw/edit?usp=sharing"",""จันทบุรี!I138"")"),20)</f>
        <v>20</v>
      </c>
      <c r="J213" s="204">
        <f ca="1">IFERROR(__xludf.DUMMYFUNCTION("IMPORTRANGE(""https://docs.google.com/spreadsheets/d/1SX6NBoVAgQJ6U1MVXOaj8PK2l7WJ3RER9xtqwdhxkhw/edit?usp=sharing"",""จันทบุรี!J138"")"),20)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IFERROR(__xludf.DUMMYFUNCTION("IMPORTRANGE(""https://docs.google.com/spreadsheets/d/1SX6NBoVAgQJ6U1MVXOaj8PK2l7WJ3RER9xtqwdhxkhw/edit?usp=sharing"",""จันทบุรี!I140"")"),0)</f>
        <v>0</v>
      </c>
      <c r="J215" s="204">
        <f ca="1">IFERROR(__xludf.DUMMYFUNCTION("IMPORTRANGE(""https://docs.google.com/spreadsheets/d/1SX6NBoVAgQJ6U1MVXOaj8PK2l7WJ3RER9xtqwdhxkhw/edit?usp=sharing"",""จันทบุรี!J140"")"),0)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IFERROR(__xludf.DUMMYFUNCTION("IMPORTRANGE(""https://docs.google.com/spreadsheets/d/1SX6NBoVAgQJ6U1MVXOaj8PK2l7WJ3RER9xtqwdhxkhw/edit?usp=sharing"",""จันทบุรี!I141"")"),0)</f>
        <v>0</v>
      </c>
      <c r="J216" s="204">
        <f ca="1">IFERROR(__xludf.DUMMYFUNCTION("IMPORTRANGE(""https://docs.google.com/spreadsheets/d/1SX6NBoVAgQJ6U1MVXOaj8PK2l7WJ3RER9xtqwdhxkhw/edit?usp=sharing"",""จันทบุรี!J141"")"),0)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IFERROR(__xludf.DUMMYFUNCTION("IMPORTRANGE(""https://docs.google.com/spreadsheets/d/1SX6NBoVAgQJ6U1MVXOaj8PK2l7WJ3RER9xtqwdhxkhw/edit?usp=sharing"",""จันทบุรี!J142"")"),0)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IFERROR(__xludf.DUMMYFUNCTION("IMPORTRANGE(""https://docs.google.com/spreadsheets/d/1SX6NBoVAgQJ6U1MVXOaj8PK2l7WJ3RER9xtqwdhxkhw/edit?usp=sharing"",""จันทบุรี!J143"")"),0)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IFERROR(__xludf.DUMMYFUNCTION("IMPORTRANGE(""https://docs.google.com/spreadsheets/d/1SX6NBoVAgQJ6U1MVXOaj8PK2l7WJ3RER9xtqwdhxkhw/edit?usp=sharing"",""จันทบุรี!I144"")"),13)</f>
        <v>13</v>
      </c>
      <c r="J219" s="268">
        <f ca="1">IFERROR(__xludf.DUMMYFUNCTION("IMPORTRANGE(""https://docs.google.com/spreadsheets/d/1SX6NBoVAgQJ6U1MVXOaj8PK2l7WJ3RER9xtqwdhxkhw/edit?usp=sharing"",""จันทบุรี!J144"")"),13)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IFERROR(__xludf.DUMMYFUNCTION("IMPORTRANGE(""https://docs.google.com/spreadsheets/d/1Yj_ptqi66GCucihVvJfMjLAmec39IyEx_6qawtMGysU/edit?usp=sharing"",""สบก!BS60"")"),19295)</f>
        <v>19295</v>
      </c>
      <c r="N224" s="169">
        <f ca="1">IFERROR(__xludf.DUMMYFUNCTION("IMPORTRANGE(""https://docs.google.com/spreadsheets/d/1Yj_ptqi66GCucihVvJfMjLAmec39IyEx_6qawtMGysU/edit?usp=sharing"",""สบก!BT60"")"),19295)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IFERROR(__xludf.DUMMYFUNCTION("IMPORTRANGE(""https://docs.google.com/spreadsheets/d/1Yj_ptqi66GCucihVvJfMjLAmec39IyEx_6qawtMGysU/edit?usp=sharing"",""สบก!BP60"")"),19295)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IFERROR(__xludf.DUMMYFUNCTION("IMPORTRANGE(""https://docs.google.com/spreadsheets/d/1SX6NBoVAgQJ6U1MVXOaj8PK2l7WJ3RER9xtqwdhxkhw/edit?usp=sharing"",""จันทบุรี!I149"")"),13)</f>
        <v>13</v>
      </c>
      <c r="J229" s="268">
        <f ca="1">IFERROR(__xludf.DUMMYFUNCTION("IMPORTRANGE(""https://docs.google.com/spreadsheets/d/1SX6NBoVAgQJ6U1MVXOaj8PK2l7WJ3RER9xtqwdhxkhw/edit?usp=sharing"",""จันทบุรี!J149"")"),13)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IFERROR(__xludf.DUMMYFUNCTION("IMPORTRANGE(""https://docs.google.com/spreadsheets/d/1SX6NBoVAgQJ6U1MVXOaj8PK2l7WJ3RER9xtqwdhxkhw/edit?usp=sharing"",""จันทบุรี!J151"")"),0)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IFERROR(__xludf.DUMMYFUNCTION("IMPORTRANGE(""https://docs.google.com/spreadsheets/d/1SX6NBoVAgQJ6U1MVXOaj8PK2l7WJ3RER9xtqwdhxkhw/edit?usp=sharing"",""จันทบุรี!J152"")"),1)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IFERROR(__xludf.DUMMYFUNCTION("IMPORTRANGE(""https://docs.google.com/spreadsheets/d/1SX6NBoVAgQJ6U1MVXOaj8PK2l7WJ3RER9xtqwdhxkhw/edit?usp=sharing"",""จันทบุรี!J153"")"),1)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IFERROR(__xludf.DUMMYFUNCTION("IMPORTRANGE(""https://docs.google.com/spreadsheets/d/1SX6NBoVAgQJ6U1MVXOaj8PK2l7WJ3RER9xtqwdhxkhw/edit?usp=sharing"",""จันทบุรี!J154"")"),1)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IFERROR(__xludf.DUMMYFUNCTION("IMPORTRANGE(""https://docs.google.com/spreadsheets/d/1SX6NBoVAgQJ6U1MVXOaj8PK2l7WJ3RER9xtqwdhxkhw/edit?usp=sharing"",""จันทบุรี!I155"")"),13)</f>
        <v>13</v>
      </c>
      <c r="J235" s="189">
        <f ca="1">IFERROR(__xludf.DUMMYFUNCTION("IMPORTRANGE(""https://docs.google.com/spreadsheets/d/1SX6NBoVAgQJ6U1MVXOaj8PK2l7WJ3RER9xtqwdhxkhw/edit?usp=sharing"",""จันทบุรี!J155"")"),13)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IFERROR(__xludf.DUMMYFUNCTION("IMPORTRANGE(""https://docs.google.com/spreadsheets/d/1SX6NBoVAgQJ6U1MVXOaj8PK2l7WJ3RER9xtqwdhxkhw/edit?usp=sharing"",""จันทบุรี!J156"")"),0)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IFERROR(__xludf.DUMMYFUNCTION("IMPORTRANGE(""https://docs.google.com/spreadsheets/d/1SX6NBoVAgQJ6U1MVXOaj8PK2l7WJ3RER9xtqwdhxkhw/edit?usp=sharing"",""จันทบุรี!J157"")"),0)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IFERROR(__xludf.DUMMYFUNCTION("IMPORTRANGE(""https://docs.google.com/spreadsheets/d/1SX6NBoVAgQJ6U1MVXOaj8PK2l7WJ3RER9xtqwdhxkhw/edit?usp=sharing"",""จันทบุรี!I158"")"),0)</f>
        <v>0</v>
      </c>
      <c r="J238" s="268">
        <f ca="1">IFERROR(__xludf.DUMMYFUNCTION("IMPORTRANGE(""https://docs.google.com/spreadsheets/d/1SX6NBoVAgQJ6U1MVXOaj8PK2l7WJ3RER9xtqwdhxkhw/edit?usp=sharing"",""จันทบุรี!J158"")"),0)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IFERROR(__xludf.DUMMYFUNCTION("IMPORTRANGE(""https://docs.google.com/spreadsheets/d/1SX6NBoVAgQJ6U1MVXOaj8PK2l7WJ3RER9xtqwdhxkhw/edit?usp=sharing"",""จันทบุรี!J159"")"),"")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IFERROR(__xludf.DUMMYFUNCTION("IMPORTRANGE(""https://docs.google.com/spreadsheets/d/1SX6NBoVAgQJ6U1MVXOaj8PK2l7WJ3RER9xtqwdhxkhw/edit?usp=sharing"",""จันทบุรี!J161"")"),0)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IFERROR(__xludf.DUMMYFUNCTION("IMPORTRANGE(""https://docs.google.com/spreadsheets/d/1SX6NBoVAgQJ6U1MVXOaj8PK2l7WJ3RER9xtqwdhxkhw/edit?usp=sharing"",""จันทบุรี!J162"")"),0)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IFERROR(__xludf.DUMMYFUNCTION("IMPORTRANGE(""https://docs.google.com/spreadsheets/d/1SX6NBoVAgQJ6U1MVXOaj8PK2l7WJ3RER9xtqwdhxkhw/edit?usp=sharing"",""จันทบุรี!J163"")"),0)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IFERROR(__xludf.DUMMYFUNCTION("IMPORTRANGE(""https://docs.google.com/spreadsheets/d/1SX6NBoVAgQJ6U1MVXOaj8PK2l7WJ3RER9xtqwdhxkhw/edit?usp=sharing"",""จันทบุรี!I164"")"),0)</f>
        <v>0</v>
      </c>
      <c r="J244" s="188">
        <f ca="1">IFERROR(__xludf.DUMMYFUNCTION("IMPORTRANGE(""https://docs.google.com/spreadsheets/d/1SX6NBoVAgQJ6U1MVXOaj8PK2l7WJ3RER9xtqwdhxkhw/edit?usp=sharing"",""จันทบุรี!J164"")"),0)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IFERROR(__xludf.DUMMYFUNCTION("IMPORTRANGE(""https://docs.google.com/spreadsheets/d/1SX6NBoVAgQJ6U1MVXOaj8PK2l7WJ3RER9xtqwdhxkhw/edit?usp=sharing"",""จันทบุรี!J165"")"),0)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IFERROR(__xludf.DUMMYFUNCTION("IMPORTRANGE(""https://docs.google.com/spreadsheets/d/1SX6NBoVAgQJ6U1MVXOaj8PK2l7WJ3RER9xtqwdhxkhw/edit?usp=sharing"",""จันทบุรี!J166"")"),0)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IFERROR(__xludf.DUMMYFUNCTION("IMPORTRANGE(""https://docs.google.com/spreadsheets/d/1SX6NBoVAgQJ6U1MVXOaj8PK2l7WJ3RER9xtqwdhxkhw/edit?usp=sharing"",""จันทบุรี!I169"")"),25)</f>
        <v>25</v>
      </c>
      <c r="J249" s="317">
        <f ca="1">IFERROR(__xludf.DUMMYFUNCTION("IMPORTRANGE(""https://docs.google.com/spreadsheets/d/1SX6NBoVAgQJ6U1MVXOaj8PK2l7WJ3RER9xtqwdhxkhw/edit?usp=sharing"",""จันทบุรี!J169"")"),25)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112457</v>
      </c>
      <c r="O250" s="151">
        <f t="shared" ref="O250:O252" ca="1" si="78">IF(L250&gt;0,N250*100/L250,0)</f>
        <v>56.51105527638191</v>
      </c>
      <c r="P250" s="151">
        <f t="shared" ref="P250:P252" ca="1" si="79">IF(M250&gt;0,N250*100/M250,0)</f>
        <v>63.535028248587572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177000</v>
      </c>
      <c r="N252" s="157">
        <f t="shared" ca="1" si="81"/>
        <v>112457</v>
      </c>
      <c r="O252" s="156">
        <f t="shared" ca="1" si="78"/>
        <v>56.51105527638191</v>
      </c>
      <c r="P252" s="156">
        <f t="shared" ca="1" si="79"/>
        <v>63.535028248587572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IFERROR(__xludf.DUMMYFUNCTION("IMPORTRANGE(""https://docs.google.com/spreadsheets/d/1Yj_ptqi66GCucihVvJfMjLAmec39IyEx_6qawtMGysU/edit?usp=sharing"",""สบก!CB60"")"),177000)</f>
        <v>177000</v>
      </c>
      <c r="N254" s="169">
        <f ca="1">IFERROR(__xludf.DUMMYFUNCTION("IMPORTRANGE(""https://docs.google.com/spreadsheets/d/1Yj_ptqi66GCucihVvJfMjLAmec39IyEx_6qawtMGysU/edit?usp=sharing"",""สบก!CC60"")"),112457)</f>
        <v>112457</v>
      </c>
      <c r="O254" s="169">
        <f ca="1">IF(L254&gt;0,N254*100/L254,0)</f>
        <v>56.51105527638191</v>
      </c>
      <c r="P254" s="169">
        <f ca="1">IF(M254&gt;0,N254*100/M254,0)</f>
        <v>63.535028248587572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IFERROR(__xludf.DUMMYFUNCTION("IMPORTRANGE(""https://docs.google.com/spreadsheets/d/1Yj_ptqi66GCucihVvJfMjLAmec39IyEx_6qawtMGysU/edit?usp=sharing"",""สบก!BY60"")"),199000)</f>
        <v>199000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IFERROR(__xludf.DUMMYFUNCTION("IMPORTRANGE(""https://docs.google.com/spreadsheets/d/1SX6NBoVAgQJ6U1MVXOaj8PK2l7WJ3RER9xtqwdhxkhw/edit?usp=sharing"",""จันทบุรี!J175"")"),0)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IFERROR(__xludf.DUMMYFUNCTION("IMPORTRANGE(""https://docs.google.com/spreadsheets/d/1SX6NBoVAgQJ6U1MVXOaj8PK2l7WJ3RER9xtqwdhxkhw/edit?usp=sharing"",""จันทบุรี!J176"")"),1)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IFERROR(__xludf.DUMMYFUNCTION("IMPORTRANGE(""https://docs.google.com/spreadsheets/d/1SX6NBoVAgQJ6U1MVXOaj8PK2l7WJ3RER9xtqwdhxkhw/edit?usp=sharing"",""จันทบุรี!J177"")"),1)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IFERROR(__xludf.DUMMYFUNCTION("IMPORTRANGE(""https://docs.google.com/spreadsheets/d/1SX6NBoVAgQJ6U1MVXOaj8PK2l7WJ3RER9xtqwdhxkhw/edit?usp=sharing"",""จันทบุรี!J178"")"),1)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IFERROR(__xludf.DUMMYFUNCTION("IMPORTRANGE(""https://docs.google.com/spreadsheets/d/1SX6NBoVAgQJ6U1MVXOaj8PK2l7WJ3RER9xtqwdhxkhw/edit?usp=sharing"",""จันทบุรี!I179"")"),1)</f>
        <v>1</v>
      </c>
      <c r="J264" s="189">
        <f ca="1">IFERROR(__xludf.DUMMYFUNCTION("IMPORTRANGE(""https://docs.google.com/spreadsheets/d/1SX6NBoVAgQJ6U1MVXOaj8PK2l7WJ3RER9xtqwdhxkhw/edit?usp=sharing"",""จันทบุรี!J179"")"),1)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IFERROR(__xludf.DUMMYFUNCTION("IMPORTRANGE(""https://docs.google.com/spreadsheets/d/1SX6NBoVAgQJ6U1MVXOaj8PK2l7WJ3RER9xtqwdhxkhw/edit?usp=sharing"",""จันทบุรี!I180"")"),25)</f>
        <v>25</v>
      </c>
      <c r="J265" s="189">
        <f ca="1">IFERROR(__xludf.DUMMYFUNCTION("IMPORTRANGE(""https://docs.google.com/spreadsheets/d/1SX6NBoVAgQJ6U1MVXOaj8PK2l7WJ3RER9xtqwdhxkhw/edit?usp=sharing"",""จันทบุรี!J180"")"),25)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IFERROR(__xludf.DUMMYFUNCTION("IMPORTRANGE(""https://docs.google.com/spreadsheets/d/1SX6NBoVAgQJ6U1MVXOaj8PK2l7WJ3RER9xtqwdhxkhw/edit?usp=sharing"",""จันทบุรี!I181"")"),25)</f>
        <v>25</v>
      </c>
      <c r="J266" s="189">
        <f ca="1">IFERROR(__xludf.DUMMYFUNCTION("IMPORTRANGE(""https://docs.google.com/spreadsheets/d/1SX6NBoVAgQJ6U1MVXOaj8PK2l7WJ3RER9xtqwdhxkhw/edit?usp=sharing"",""จันทบุรี!J181"")"),0)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IFERROR(__xludf.DUMMYFUNCTION("IMPORTRANGE(""https://docs.google.com/spreadsheets/d/1SX6NBoVAgQJ6U1MVXOaj8PK2l7WJ3RER9xtqwdhxkhw/edit?usp=sharing"",""จันทบุรี!I182"")"),1)</f>
        <v>1</v>
      </c>
      <c r="J267" s="189">
        <f ca="1">IFERROR(__xludf.DUMMYFUNCTION("IMPORTRANGE(""https://docs.google.com/spreadsheets/d/1SX6NBoVAgQJ6U1MVXOaj8PK2l7WJ3RER9xtqwdhxkhw/edit?usp=sharing"",""จันทบุรี!J182"")"),1)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IFERROR(__xludf.DUMMYFUNCTION("IMPORTRANGE(""https://docs.google.com/spreadsheets/d/1SX6NBoVAgQJ6U1MVXOaj8PK2l7WJ3RER9xtqwdhxkhw/edit?usp=sharing"",""จันทบุรี!J183"")"),0)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IFERROR(__xludf.DUMMYFUNCTION("IMPORTRANGE(""https://docs.google.com/spreadsheets/d/1SX6NBoVAgQJ6U1MVXOaj8PK2l7WJ3RER9xtqwdhxkhw/edit?usp=sharing"",""จันทบุรี!J184"")"),0)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IFERROR(__xludf.DUMMYFUNCTION("IMPORTRANGE(""https://docs.google.com/spreadsheets/d/1SX6NBoVAgQJ6U1MVXOaj8PK2l7WJ3RER9xtqwdhxkhw/edit?usp=sharing"",""จันทบุรี!I185"")"),15)</f>
        <v>15</v>
      </c>
      <c r="J270" s="317">
        <f ca="1">IFERROR(__xludf.DUMMYFUNCTION("IMPORTRANGE(""https://docs.google.com/spreadsheets/d/1SX6NBoVAgQJ6U1MVXOaj8PK2l7WJ3RER9xtqwdhxkhw/edit?usp=sharing"",""จันทบุรี!J185"")"),15)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28790</v>
      </c>
      <c r="O271" s="151">
        <f t="shared" ref="O271:O273" ca="1" si="84">IF(L271&gt;0,N271*100/L271,0)</f>
        <v>52.155797101449274</v>
      </c>
      <c r="P271" s="151">
        <f t="shared" ref="P271:P273" ca="1" si="85">IF(M271&gt;0,N271*100/M271,0)</f>
        <v>89.271317829457359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28790</v>
      </c>
      <c r="O273" s="156">
        <f t="shared" ca="1" si="84"/>
        <v>52.155797101449274</v>
      </c>
      <c r="P273" s="156">
        <f t="shared" ca="1" si="85"/>
        <v>89.271317829457359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IFERROR(__xludf.DUMMYFUNCTION("IMPORTRANGE(""https://docs.google.com/spreadsheets/d/1Yj_ptqi66GCucihVvJfMjLAmec39IyEx_6qawtMGysU/edit?usp=sharing"",""สบก!CK60"")"),32250)</f>
        <v>32250</v>
      </c>
      <c r="N275" s="169">
        <f ca="1">IFERROR(__xludf.DUMMYFUNCTION("IMPORTRANGE(""https://docs.google.com/spreadsheets/d/1Yj_ptqi66GCucihVvJfMjLAmec39IyEx_6qawtMGysU/edit?usp=sharing"",""สบก!CL60"")"),28790)</f>
        <v>28790</v>
      </c>
      <c r="O275" s="169">
        <f ca="1">IF(L275&gt;0,N275*100/L275,0)</f>
        <v>52.155797101449274</v>
      </c>
      <c r="P275" s="169">
        <f ca="1">IF(M275&gt;0,N275*100/M275,0)</f>
        <v>89.271317829457359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IFERROR(__xludf.DUMMYFUNCTION("IMPORTRANGE(""https://docs.google.com/spreadsheets/d/1Yj_ptqi66GCucihVvJfMjLAmec39IyEx_6qawtMGysU/edit?usp=sharing"",""สบก!CG60"")"),0)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IFERROR(__xludf.DUMMYFUNCTION("IMPORTRANGE(""https://docs.google.com/spreadsheets/d/1Yj_ptqi66GCucihVvJfMjLAmec39IyEx_6qawtMGysU/edit?usp=sharing"",""สบก!CH60"")"),55200)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IFERROR(__xludf.DUMMYFUNCTION("IMPORTRANGE(""https://docs.google.com/spreadsheets/d/1SX6NBoVAgQJ6U1MVXOaj8PK2l7WJ3RER9xtqwdhxkhw/edit?usp=sharing"",""จันทบุรี!J191"")"),0)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IFERROR(__xludf.DUMMYFUNCTION("IMPORTRANGE(""https://docs.google.com/spreadsheets/d/1SX6NBoVAgQJ6U1MVXOaj8PK2l7WJ3RER9xtqwdhxkhw/edit?usp=sharing"",""จันทบุรี!J192"")"),1)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IFERROR(__xludf.DUMMYFUNCTION("IMPORTRANGE(""https://docs.google.com/spreadsheets/d/1SX6NBoVAgQJ6U1MVXOaj8PK2l7WJ3RER9xtqwdhxkhw/edit?usp=sharing"",""จันทบุรี!J193"")"),1)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IFERROR(__xludf.DUMMYFUNCTION("IMPORTRANGE(""https://docs.google.com/spreadsheets/d/1SX6NBoVAgQJ6U1MVXOaj8PK2l7WJ3RER9xtqwdhxkhw/edit?usp=sharing"",""จันทบุรี!J194"")"),1)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IFERROR(__xludf.DUMMYFUNCTION("IMPORTRANGE(""https://docs.google.com/spreadsheets/d/1SX6NBoVAgQJ6U1MVXOaj8PK2l7WJ3RER9xtqwdhxkhw/edit?usp=sharing"",""จันทบุรี!I195"")"),15)</f>
        <v>15</v>
      </c>
      <c r="J285" s="189">
        <f ca="1">IFERROR(__xludf.DUMMYFUNCTION("IMPORTRANGE(""https://docs.google.com/spreadsheets/d/1SX6NBoVAgQJ6U1MVXOaj8PK2l7WJ3RER9xtqwdhxkhw/edit?usp=sharing"",""จันทบุรี!J195"")"),15)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IFERROR(__xludf.DUMMYFUNCTION("IMPORTRANGE(""https://docs.google.com/spreadsheets/d/1SX6NBoVAgQJ6U1MVXOaj8PK2l7WJ3RER9xtqwdhxkhw/edit?usp=sharing"",""จันทบุรี!J196"")"),0)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IFERROR(__xludf.DUMMYFUNCTION("IMPORTRANGE(""https://docs.google.com/spreadsheets/d/1SX6NBoVAgQJ6U1MVXOaj8PK2l7WJ3RER9xtqwdhxkhw/edit?usp=sharing"",""จันทบุรี!J197"")"),0)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IFERROR(__xludf.DUMMYFUNCTION("IMPORTRANGE(""https://docs.google.com/spreadsheets/d/1SX6NBoVAgQJ6U1MVXOaj8PK2l7WJ3RER9xtqwdhxkhw/edit?usp=sharing"",""จันทบุรี!I199"")"),0)</f>
        <v>0</v>
      </c>
      <c r="J289" s="317">
        <f ca="1">IFERROR(__xludf.DUMMYFUNCTION("IMPORTRANGE(""https://docs.google.com/spreadsheets/d/1SX6NBoVAgQJ6U1MVXOaj8PK2l7WJ3RER9xtqwdhxkhw/edit?usp=sharing"",""จันทบุรี!J199"")"),0)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IFERROR(__xludf.DUMMYFUNCTION("IMPORTRANGE(""https://docs.google.com/spreadsheets/d/1Yj_ptqi66GCucihVvJfMjLAmec39IyEx_6qawtMGysU/edit?usp=sharing"",""สบก!CT60"")"),0)</f>
        <v>0</v>
      </c>
      <c r="N294" s="169">
        <f ca="1">IFERROR(__xludf.DUMMYFUNCTION("IMPORTRANGE(""https://docs.google.com/spreadsheets/d/1Yj_ptqi66GCucihVvJfMjLAmec39IyEx_6qawtMGysU/edit?usp=sharing"",""สบก!CU60"")"),0)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IFERROR(__xludf.DUMMYFUNCTION("IMPORTRANGE(""https://docs.google.com/spreadsheets/d/1SX6NBoVAgQJ6U1MVXOaj8PK2l7WJ3RER9xtqwdhxkhw/edit?usp=sharing"",""จันทบุรี!J205"")"),0)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IFERROR(__xludf.DUMMYFUNCTION("IMPORTRANGE(""https://docs.google.com/spreadsheets/d/1SX6NBoVAgQJ6U1MVXOaj8PK2l7WJ3RER9xtqwdhxkhw/edit?usp=sharing"",""จันทบุรี!J206"")"),0)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IFERROR(__xludf.DUMMYFUNCTION("IMPORTRANGE(""https://docs.google.com/spreadsheets/d/1SX6NBoVAgQJ6U1MVXOaj8PK2l7WJ3RER9xtqwdhxkhw/edit?usp=sharing"",""จันทบุรี!J207"")"),0)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IFERROR(__xludf.DUMMYFUNCTION("IMPORTRANGE(""https://docs.google.com/spreadsheets/d/1SX6NBoVAgQJ6U1MVXOaj8PK2l7WJ3RER9xtqwdhxkhw/edit?usp=sharing"",""จันทบุรี!J208"")"),0)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IFERROR(__xludf.DUMMYFUNCTION("IMPORTRANGE(""https://docs.google.com/spreadsheets/d/1SX6NBoVAgQJ6U1MVXOaj8PK2l7WJ3RER9xtqwdhxkhw/edit?usp=sharing"",""จันทบุรี!I209"")"),0)</f>
        <v>0</v>
      </c>
      <c r="J304" s="204">
        <f ca="1">IFERROR(__xludf.DUMMYFUNCTION("IMPORTRANGE(""https://docs.google.com/spreadsheets/d/1SX6NBoVAgQJ6U1MVXOaj8PK2l7WJ3RER9xtqwdhxkhw/edit?usp=sharing"",""จันทบุรี!J209"")"),0)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IFERROR(__xludf.DUMMYFUNCTION("IMPORTRANGE(""https://docs.google.com/spreadsheets/d/1SX6NBoVAgQJ6U1MVXOaj8PK2l7WJ3RER9xtqwdhxkhw/edit?usp=sharing"",""จันทบุรี!I211"")"),0)</f>
        <v>0</v>
      </c>
      <c r="J306" s="204">
        <f ca="1">IFERROR(__xludf.DUMMYFUNCTION("IMPORTRANGE(""https://docs.google.com/spreadsheets/d/1SX6NBoVAgQJ6U1MVXOaj8PK2l7WJ3RER9xtqwdhxkhw/edit?usp=sharing"",""จันทบุรี!J211"")"),0)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IFERROR(__xludf.DUMMYFUNCTION("IMPORTRANGE(""https://docs.google.com/spreadsheets/d/1SX6NBoVAgQJ6U1MVXOaj8PK2l7WJ3RER9xtqwdhxkhw/edit?usp=sharing"",""จันทบุรี!J212"")"),0)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IFERROR(__xludf.DUMMYFUNCTION("IMPORTRANGE(""https://docs.google.com/spreadsheets/d/1SX6NBoVAgQJ6U1MVXOaj8PK2l7WJ3RER9xtqwdhxkhw/edit?usp=sharing"",""จันทบุรี!J213"")"),0)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IFERROR(__xludf.DUMMYFUNCTION("IMPORTRANGE(""https://docs.google.com/spreadsheets/d/1SX6NBoVAgQJ6U1MVXOaj8PK2l7WJ3RER9xtqwdhxkhw/edit?usp=sharing"",""จันทบุรี!I214"")"),0)</f>
        <v>0</v>
      </c>
      <c r="J309" s="334">
        <f ca="1">IFERROR(__xludf.DUMMYFUNCTION("IMPORTRANGE(""https://docs.google.com/spreadsheets/d/1SX6NBoVAgQJ6U1MVXOaj8PK2l7WJ3RER9xtqwdhxkhw/edit?usp=sharing"",""จันทบุรี!J214"")"),0)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IFERROR(__xludf.DUMMYFUNCTION("IMPORTRANGE(""https://docs.google.com/spreadsheets/d/1Yj_ptqi66GCucihVvJfMjLAmec39IyEx_6qawtMGysU/edit?usp=sharing"",""สบก!DC60"")"),0)</f>
        <v>0</v>
      </c>
      <c r="N314" s="169">
        <f ca="1">IFERROR(__xludf.DUMMYFUNCTION("IMPORTRANGE(""https://docs.google.com/spreadsheets/d/1Yj_ptqi66GCucihVvJfMjLAmec39IyEx_6qawtMGysU/edit?usp=sharing"",""สบก!DD60"")"),0)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IFERROR(__xludf.DUMMYFUNCTION("IMPORTRANGE(""https://docs.google.com/spreadsheets/d/1SX6NBoVAgQJ6U1MVXOaj8PK2l7WJ3RER9xtqwdhxkhw/edit?usp=sharing"",""จันทบุรี!J220"")"),0)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IFERROR(__xludf.DUMMYFUNCTION("IMPORTRANGE(""https://docs.google.com/spreadsheets/d/1SX6NBoVAgQJ6U1MVXOaj8PK2l7WJ3RER9xtqwdhxkhw/edit?usp=sharing"",""จันทบุรี!J221"")"),0)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IFERROR(__xludf.DUMMYFUNCTION("IMPORTRANGE(""https://docs.google.com/spreadsheets/d/1SX6NBoVAgQJ6U1MVXOaj8PK2l7WJ3RER9xtqwdhxkhw/edit?usp=sharing"",""จันทบุรี!J222"")"),0)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IFERROR(__xludf.DUMMYFUNCTION("IMPORTRANGE(""https://docs.google.com/spreadsheets/d/1SX6NBoVAgQJ6U1MVXOaj8PK2l7WJ3RER9xtqwdhxkhw/edit?usp=sharing"",""จันทบุรี!J223"")"),0)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IFERROR(__xludf.DUMMYFUNCTION("IMPORTRANGE(""https://docs.google.com/spreadsheets/d/1SX6NBoVAgQJ6U1MVXOaj8PK2l7WJ3RER9xtqwdhxkhw/edit?usp=sharing"",""จันทบุรี!I224"")"),0)</f>
        <v>0</v>
      </c>
      <c r="J324" s="204">
        <f ca="1">IFERROR(__xludf.DUMMYFUNCTION("IMPORTRANGE(""https://docs.google.com/spreadsheets/d/1SX6NBoVAgQJ6U1MVXOaj8PK2l7WJ3RER9xtqwdhxkhw/edit?usp=sharing"",""จันทบุรี!J224"")"),0)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IFERROR(__xludf.DUMMYFUNCTION("IMPORTRANGE(""https://docs.google.com/spreadsheets/d/1SX6NBoVAgQJ6U1MVXOaj8PK2l7WJ3RER9xtqwdhxkhw/edit?usp=sharing"",""จันทบุรี!J225"")"),0)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IFERROR(__xludf.DUMMYFUNCTION("IMPORTRANGE(""https://docs.google.com/spreadsheets/d/1SX6NBoVAgQJ6U1MVXOaj8PK2l7WJ3RER9xtqwdhxkhw/edit?usp=sharing"",""จันทบุรี!J226"")"),0)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IFERROR(__xludf.DUMMYFUNCTION("IMPORTRANGE(""https://docs.google.com/spreadsheets/d/1SX6NBoVAgQJ6U1MVXOaj8PK2l7WJ3RER9xtqwdhxkhw/edit?usp=sharing"",""จันทบุรี!I228"")"),160)</f>
        <v>160</v>
      </c>
      <c r="J328" s="340">
        <f ca="1">IFERROR(__xludf.DUMMYFUNCTION("IMPORTRANGE(""https://docs.google.com/spreadsheets/d/1SX6NBoVAgQJ6U1MVXOaj8PK2l7WJ3RER9xtqwdhxkhw/edit?usp=sharing"",""จันทบุรี!J228"")"),66)</f>
        <v>66</v>
      </c>
      <c r="K328" s="318">
        <f ca="1">IF(I328&gt;0,J328*100/I328,0)</f>
        <v>41.25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717250</v>
      </c>
      <c r="M329" s="152">
        <f t="shared" ca="1" si="98"/>
        <v>619080</v>
      </c>
      <c r="N329" s="152">
        <f t="shared" ca="1" si="98"/>
        <v>441610</v>
      </c>
      <c r="O329" s="151">
        <f t="shared" ref="O329:O331" ca="1" si="99">IF(L329&gt;0,N329*100/L329,0)</f>
        <v>61.569884977344024</v>
      </c>
      <c r="P329" s="151">
        <f t="shared" ref="P329:P331" ca="1" si="100">IF(M329&gt;0,N329*100/M329,0)</f>
        <v>71.333268721328423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717250</v>
      </c>
      <c r="M331" s="157">
        <f t="shared" ca="1" si="102"/>
        <v>619080</v>
      </c>
      <c r="N331" s="157">
        <f t="shared" ca="1" si="102"/>
        <v>441610</v>
      </c>
      <c r="O331" s="156">
        <f t="shared" ca="1" si="99"/>
        <v>61.569884977344024</v>
      </c>
      <c r="P331" s="156">
        <f t="shared" ca="1" si="100"/>
        <v>71.333268721328423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717250</v>
      </c>
      <c r="M333" s="168">
        <f ca="1">IFERROR(__xludf.DUMMYFUNCTION("IMPORTRANGE(""https://docs.google.com/spreadsheets/d/1Yj_ptqi66GCucihVvJfMjLAmec39IyEx_6qawtMGysU/edit?usp=sharing"",""สบก!DL60"")"),619080)</f>
        <v>619080</v>
      </c>
      <c r="N333" s="169">
        <f ca="1">IFERROR(__xludf.DUMMYFUNCTION("IMPORTRANGE(""https://docs.google.com/spreadsheets/d/1Yj_ptqi66GCucihVvJfMjLAmec39IyEx_6qawtMGysU/edit?usp=sharing"",""สบก!DM60"")"),441610)</f>
        <v>441610</v>
      </c>
      <c r="O333" s="169">
        <f ca="1">IF(L333&gt;0,N333*100/L333,0)</f>
        <v>61.569884977344024</v>
      </c>
      <c r="P333" s="169">
        <f ca="1">IF(M333&gt;0,N333*100/M333,0)</f>
        <v>71.333268721328423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IFERROR(__xludf.DUMMYFUNCTION("IMPORTRANGE(""https://docs.google.com/spreadsheets/d/1Yj_ptqi66GCucihVvJfMjLAmec39IyEx_6qawtMGysU/edit?usp=sharing"",""สบก!DH60"")"),306000)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IFERROR(__xludf.DUMMYFUNCTION("IMPORTRANGE(""https://docs.google.com/spreadsheets/d/1Yj_ptqi66GCucihVvJfMjLAmec39IyEx_6qawtMGysU/edit?usp=sharing"",""สบก!DI60"")"),411250)</f>
        <v>411250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IFERROR(__xludf.DUMMYFUNCTION("IMPORTRANGE(""https://docs.google.com/spreadsheets/d/1SX6NBoVAgQJ6U1MVXOaj8PK2l7WJ3RER9xtqwdhxkhw/edit?usp=sharing"",""จันทบุรี!I234"")"),0)</f>
        <v>0</v>
      </c>
      <c r="J339" s="188">
        <f ca="1">IFERROR(__xludf.DUMMYFUNCTION("IMPORTRANGE(""https://docs.google.com/spreadsheets/d/1SX6NBoVAgQJ6U1MVXOaj8PK2l7WJ3RER9xtqwdhxkhw/edit?usp=sharing"",""จันทบุรี!J234"")"),109)</f>
        <v>109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IFERROR(__xludf.DUMMYFUNCTION("IMPORTRANGE(""https://docs.google.com/spreadsheets/d/1SX6NBoVAgQJ6U1MVXOaj8PK2l7WJ3RER9xtqwdhxkhw/edit?usp=sharing"",""จันทบุรี!I235"")"),2750)</f>
        <v>2750</v>
      </c>
      <c r="J340" s="188">
        <f ca="1">IFERROR(__xludf.DUMMYFUNCTION("IMPORTRANGE(""https://docs.google.com/spreadsheets/d/1SX6NBoVAgQJ6U1MVXOaj8PK2l7WJ3RER9xtqwdhxkhw/edit?usp=sharing"",""จันทบุรี!J235"")"),1605.55)</f>
        <v>1605.55</v>
      </c>
      <c r="K340" s="343">
        <f t="shared" ca="1" si="103"/>
        <v>58.383636363636363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IFERROR(__xludf.DUMMYFUNCTION("IMPORTRANGE(""https://docs.google.com/spreadsheets/d/1SX6NBoVAgQJ6U1MVXOaj8PK2l7WJ3RER9xtqwdhxkhw/edit?usp=sharing"",""จันทบุรี!I236"")"),160)</f>
        <v>160</v>
      </c>
      <c r="J341" s="188">
        <f ca="1">IFERROR(__xludf.DUMMYFUNCTION("IMPORTRANGE(""https://docs.google.com/spreadsheets/d/1SX6NBoVAgQJ6U1MVXOaj8PK2l7WJ3RER9xtqwdhxkhw/edit?usp=sharing"",""จันทบุรี!J236"")"),96)</f>
        <v>96</v>
      </c>
      <c r="K341" s="343">
        <f t="shared" ca="1" si="103"/>
        <v>60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8">
        <f ca="1">IFERROR(__xludf.DUMMYFUNCTION("IMPORTRANGE(""https://docs.google.com/spreadsheets/d/1SX6NBoVAgQJ6U1MVXOaj8PK2l7WJ3RER9xtqwdhxkhw/edit?usp=sharing"",""จันทบุรี!J237"")"),1435.61)</f>
        <v>1435.61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IFERROR(__xludf.DUMMYFUNCTION("IMPORTRANGE(""https://docs.google.com/spreadsheets/d/1SX6NBoVAgQJ6U1MVXOaj8PK2l7WJ3RER9xtqwdhxkhw/edit?usp=sharing"",""จันทบุรี!I238"")"),160)</f>
        <v>160</v>
      </c>
      <c r="J343" s="188">
        <f ca="1">IFERROR(__xludf.DUMMYFUNCTION("IMPORTRANGE(""https://docs.google.com/spreadsheets/d/1SX6NBoVAgQJ6U1MVXOaj8PK2l7WJ3RER9xtqwdhxkhw/edit?usp=sharing"",""จันทบุรี!J238"")"),0)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8">
        <f ca="1">IFERROR(__xludf.DUMMYFUNCTION("IMPORTRANGE(""https://docs.google.com/spreadsheets/d/1SX6NBoVAgQJ6U1MVXOaj8PK2l7WJ3RER9xtqwdhxkhw/edit?usp=sharing"",""จันทบุรี!J239"")"),0)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IFERROR(__xludf.DUMMYFUNCTION("IMPORTRANGE(""https://docs.google.com/spreadsheets/d/1SX6NBoVAgQJ6U1MVXOaj8PK2l7WJ3RER9xtqwdhxkhw/edit?usp=sharing"",""จันทบุรี!I240"")"),160)</f>
        <v>160</v>
      </c>
      <c r="J345" s="188">
        <f ca="1">IFERROR(__xludf.DUMMYFUNCTION("IMPORTRANGE(""https://docs.google.com/spreadsheets/d/1SX6NBoVAgQJ6U1MVXOaj8PK2l7WJ3RER9xtqwdhxkhw/edit?usp=sharing"",""จันทบุรี!J240"")"),66)</f>
        <v>66</v>
      </c>
      <c r="K345" s="343">
        <f t="shared" ca="1" si="103"/>
        <v>41.25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8">
        <f ca="1">IFERROR(__xludf.DUMMYFUNCTION("IMPORTRANGE(""https://docs.google.com/spreadsheets/d/1SX6NBoVAgQJ6U1MVXOaj8PK2l7WJ3RER9xtqwdhxkhw/edit?usp=sharing"",""จันทบุรี!J241"")"),869.51)</f>
        <v>869.51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IFERROR(__xludf.DUMMYFUNCTION("IMPORTRANGE(""https://docs.google.com/spreadsheets/d/1SX6NBoVAgQJ6U1MVXOaj8PK2l7WJ3RER9xtqwdhxkhw/edit?usp=sharing"",""จันทบุรี!L242"")"),1032223)</f>
        <v>1032223</v>
      </c>
      <c r="M347" s="358"/>
      <c r="N347" s="358">
        <f ca="1">IFERROR(__xludf.DUMMYFUNCTION("IMPORTRANGE(""https://docs.google.com/spreadsheets/d/1SX6NBoVAgQJ6U1MVXOaj8PK2l7WJ3RER9xtqwdhxkhw/edit?usp=sharing"",""จันทบุรี!M242"")"),306744)</f>
        <v>306744</v>
      </c>
      <c r="O347" s="358">
        <f ca="1">+IF(L347&gt;0,N347*100/L347,0)</f>
        <v>29.71683444372001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IFERROR(__xludf.DUMMYFUNCTION("IMPORTRANGE(""https://docs.google.com/spreadsheets/d/1SX6NBoVAgQJ6U1MVXOaj8PK2l7WJ3RER9xtqwdhxkhw/edit?usp=sharing"",""จันทบุรี!L246"")"),0)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IFERROR(__xludf.DUMMYFUNCTION("IMPORTRANGE(""https://docs.google.com/spreadsheets/d/1SX6NBoVAgQJ6U1MVXOaj8PK2l7WJ3RER9xtqwdhxkhw/edit?usp=sharing"",""จันทบุรี!M246"")"),0)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IFERROR(__xludf.DUMMYFUNCTION("IMPORTRANGE(""https://docs.google.com/spreadsheets/d/1SX6NBoVAgQJ6U1MVXOaj8PK2l7WJ3RER9xtqwdhxkhw/edit?usp=sharing"",""จันทบุรี!L247"")"),0)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IFERROR(__xludf.DUMMYFUNCTION("IMPORTRANGE(""https://docs.google.com/spreadsheets/d/1SX6NBoVAgQJ6U1MVXOaj8PK2l7WJ3RER9xtqwdhxkhw/edit?usp=sharing"",""จันทบุรี!M247"")"),0)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IFERROR(__xludf.DUMMYFUNCTION("IMPORTRANGE(""https://docs.google.com/spreadsheets/d/1SX6NBoVAgQJ6U1MVXOaj8PK2l7WJ3RER9xtqwdhxkhw/edit?usp=sharing"",""จันทบุรี!L248"")"),0)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IFERROR(__xludf.DUMMYFUNCTION("IMPORTRANGE(""https://docs.google.com/spreadsheets/d/1SX6NBoVAgQJ6U1MVXOaj8PK2l7WJ3RER9xtqwdhxkhw/edit?usp=sharing"",""จันทบุรี!M248"")"),0)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IFERROR(__xludf.DUMMYFUNCTION("IMPORTRANGE(""https://docs.google.com/spreadsheets/d/1SX6NBoVAgQJ6U1MVXOaj8PK2l7WJ3RER9xtqwdhxkhw/edit?usp=sharing"",""จันทบุรี!L249"")"),0)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IFERROR(__xludf.DUMMYFUNCTION("IMPORTRANGE(""https://docs.google.com/spreadsheets/d/1SX6NBoVAgQJ6U1MVXOaj8PK2l7WJ3RER9xtqwdhxkhw/edit?usp=sharing"",""จันทบุรี!M249"")"),0)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IFERROR(__xludf.DUMMYFUNCTION("IMPORTRANGE(""https://docs.google.com/spreadsheets/d/1SX6NBoVAgQJ6U1MVXOaj8PK2l7WJ3RER9xtqwdhxkhw/edit?usp=sharing"",""จันทบุรี!J255"")"),0)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IFERROR(__xludf.DUMMYFUNCTION("IMPORTRANGE(""https://docs.google.com/spreadsheets/d/1SX6NBoVAgQJ6U1MVXOaj8PK2l7WJ3RER9xtqwdhxkhw/edit?usp=sharing"",""จันทบุรี!J256"")"),0)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IFERROR(__xludf.DUMMYFUNCTION("IMPORTRANGE(""https://docs.google.com/spreadsheets/d/1SX6NBoVAgQJ6U1MVXOaj8PK2l7WJ3RER9xtqwdhxkhw/edit?usp=sharing"",""จันทบุรี!J257"")"),0)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IFERROR(__xludf.DUMMYFUNCTION("IMPORTRANGE(""https://docs.google.com/spreadsheets/d/1SX6NBoVAgQJ6U1MVXOaj8PK2l7WJ3RER9xtqwdhxkhw/edit?usp=sharing"",""จันทบุรี!J258"")"),0)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IFERROR(__xludf.DUMMYFUNCTION("IMPORTRANGE(""https://docs.google.com/spreadsheets/d/1SX6NBoVAgQJ6U1MVXOaj8PK2l7WJ3RER9xtqwdhxkhw/edit?usp=sharing"",""จันทบุรี!J166"")"),0)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IFERROR(__xludf.DUMMYFUNCTION("IMPORTRANGE(""https://docs.google.com/spreadsheets/d/1SX6NBoVAgQJ6U1MVXOaj8PK2l7WJ3RER9xtqwdhxkhw/edit?usp=sharing"",""จันทบุรี!J166"")"),0)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IFERROR(__xludf.DUMMYFUNCTION("IMPORTRANGE(""https://docs.google.com/spreadsheets/d/1SX6NBoVAgQJ6U1MVXOaj8PK2l7WJ3RER9xtqwdhxkhw/edit?usp=sharing"",""จันทบุรี!J166"")"),0)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IFERROR(__xludf.DUMMYFUNCTION("IMPORTRANGE(""https://docs.google.com/spreadsheets/d/1SX6NBoVAgQJ6U1MVXOaj8PK2l7WJ3RER9xtqwdhxkhw/edit?usp=sharing"",""จันทบุรี!J166"")"),0)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IFERROR(__xludf.DUMMYFUNCTION("IMPORTRANGE(""https://docs.google.com/spreadsheets/d/1SX6NBoVAgQJ6U1MVXOaj8PK2l7WJ3RER9xtqwdhxkhw/edit?usp=sharing"",""จันทบุรี!I263"")"),0)</f>
        <v>0</v>
      </c>
      <c r="J368" s="188">
        <f ca="1">IFERROR(__xludf.DUMMYFUNCTION("IMPORTRANGE(""https://docs.google.com/spreadsheets/d/1SX6NBoVAgQJ6U1MVXOaj8PK2l7WJ3RER9xtqwdhxkhw/edit?usp=sharing"",""จันทบุรี!J263"")"),0)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IFERROR(__xludf.DUMMYFUNCTION("IMPORTRANGE(""https://docs.google.com/spreadsheets/d/1SX6NBoVAgQJ6U1MVXOaj8PK2l7WJ3RER9xtqwdhxkhw/edit?usp=sharing"",""จันทบุรี!I164"")"),0)</f>
        <v>0</v>
      </c>
      <c r="J369" s="204">
        <f ca="1">IFERROR(__xludf.DUMMYFUNCTION("IMPORTRANGE(""https://docs.google.com/spreadsheets/d/1SX6NBoVAgQJ6U1MVXOaj8PK2l7WJ3RER9xtqwdhxkhw/edit?usp=sharing"",""จันทบุรี!J164"")"),0)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IFERROR(__xludf.DUMMYFUNCTION("IMPORTRANGE(""https://docs.google.com/spreadsheets/d/1SX6NBoVAgQJ6U1MVXOaj8PK2l7WJ3RER9xtqwdhxkhw/edit?usp=sharing"",""จันทบุรี!I265"")"),0)</f>
        <v>0</v>
      </c>
      <c r="J370" s="204">
        <f ca="1">IFERROR(__xludf.DUMMYFUNCTION("IMPORTRANGE(""https://docs.google.com/spreadsheets/d/1SX6NBoVAgQJ6U1MVXOaj8PK2l7WJ3RER9xtqwdhxkhw/edit?usp=sharing"",""จันทบุรี!J265"")"),0)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IFERROR(__xludf.DUMMYFUNCTION("IMPORTRANGE(""https://docs.google.com/spreadsheets/d/1SX6NBoVAgQJ6U1MVXOaj8PK2l7WJ3RER9xtqwdhxkhw/edit?usp=sharing"",""จันทบุรี!I164"")"),0)</f>
        <v>0</v>
      </c>
      <c r="J371" s="189">
        <f ca="1">IFERROR(__xludf.DUMMYFUNCTION("IMPORTRANGE(""https://docs.google.com/spreadsheets/d/1SX6NBoVAgQJ6U1MVXOaj8PK2l7WJ3RER9xtqwdhxkhw/edit?usp=sharing"",""จันทบุรี!J164"")"),0)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IFERROR(__xludf.DUMMYFUNCTION("IMPORTRANGE(""https://docs.google.com/spreadsheets/d/1SX6NBoVAgQJ6U1MVXOaj8PK2l7WJ3RER9xtqwdhxkhw/edit?usp=sharing"",""จันทบุรี!I267"")"),0)</f>
        <v>0</v>
      </c>
      <c r="J372" s="189">
        <f ca="1">IFERROR(__xludf.DUMMYFUNCTION("IMPORTRANGE(""https://docs.google.com/spreadsheets/d/1SX6NBoVAgQJ6U1MVXOaj8PK2l7WJ3RER9xtqwdhxkhw/edit?usp=sharing"",""จันทบุรี!J267"")"),0)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IFERROR(__xludf.DUMMYFUNCTION("IMPORTRANGE(""https://docs.google.com/spreadsheets/d/1SX6NBoVAgQJ6U1MVXOaj8PK2l7WJ3RER9xtqwdhxkhw/edit?usp=sharing"",""จันทบุรี!I164"")"),0)</f>
        <v>0</v>
      </c>
      <c r="J373" s="204">
        <f ca="1">IFERROR(__xludf.DUMMYFUNCTION("IMPORTRANGE(""https://docs.google.com/spreadsheets/d/1SX6NBoVAgQJ6U1MVXOaj8PK2l7WJ3RER9xtqwdhxkhw/edit?usp=sharing"",""จันทบุรี!J164"")"),0)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IFERROR(__xludf.DUMMYFUNCTION("IMPORTRANGE(""https://docs.google.com/spreadsheets/d/1SX6NBoVAgQJ6U1MVXOaj8PK2l7WJ3RER9xtqwdhxkhw/edit?usp=sharing"",""จันทบุรี!I164"")"),0)</f>
        <v>0</v>
      </c>
      <c r="J374" s="188">
        <f ca="1">IFERROR(__xludf.DUMMYFUNCTION("IMPORTRANGE(""https://docs.google.com/spreadsheets/d/1SX6NBoVAgQJ6U1MVXOaj8PK2l7WJ3RER9xtqwdhxkhw/edit?usp=sharing"",""จันทบุรี!J164"")"),0)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IFERROR(__xludf.DUMMYFUNCTION("IMPORTRANGE(""https://docs.google.com/spreadsheets/d/1SX6NBoVAgQJ6U1MVXOaj8PK2l7WJ3RER9xtqwdhxkhw/edit?usp=sharing"",""จันทบุรี!I270"")"),0)</f>
        <v>0</v>
      </c>
      <c r="J375" s="188">
        <f ca="1">IFERROR(__xludf.DUMMYFUNCTION("IMPORTRANGE(""https://docs.google.com/spreadsheets/d/1SX6NBoVAgQJ6U1MVXOaj8PK2l7WJ3RER9xtqwdhxkhw/edit?usp=sharing"",""จันทบุรี!J270"")"),0)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IFERROR(__xludf.DUMMYFUNCTION("IMPORTRANGE(""https://docs.google.com/spreadsheets/d/1SX6NBoVAgQJ6U1MVXOaj8PK2l7WJ3RER9xtqwdhxkhw/edit?usp=sharing"",""จันทบุรี!I271"")"),0)</f>
        <v>0</v>
      </c>
      <c r="J376" s="189">
        <f ca="1">IFERROR(__xludf.DUMMYFUNCTION("IMPORTRANGE(""https://docs.google.com/spreadsheets/d/1SX6NBoVAgQJ6U1MVXOaj8PK2l7WJ3RER9xtqwdhxkhw/edit?usp=sharing"",""จันทบุรี!J271"")"),0)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IFERROR(__xludf.DUMMYFUNCTION("IMPORTRANGE(""https://docs.google.com/spreadsheets/d/1SX6NBoVAgQJ6U1MVXOaj8PK2l7WJ3RER9xtqwdhxkhw/edit?usp=sharing"",""จันทบุรี!I272"")"),0)</f>
        <v>0</v>
      </c>
      <c r="J377" s="204">
        <f ca="1">IFERROR(__xludf.DUMMYFUNCTION("IMPORTRANGE(""https://docs.google.com/spreadsheets/d/1SX6NBoVAgQJ6U1MVXOaj8PK2l7WJ3RER9xtqwdhxkhw/edit?usp=sharing"",""จันทบุรี!J272"")"),0)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IFERROR(__xludf.DUMMYFUNCTION("IMPORTRANGE(""https://docs.google.com/spreadsheets/d/1SX6NBoVAgQJ6U1MVXOaj8PK2l7WJ3RER9xtqwdhxkhw/edit?usp=sharing"",""จันทบุรี!J273"")"),0)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IFERROR(__xludf.DUMMYFUNCTION("IMPORTRANGE(""https://docs.google.com/spreadsheets/d/1SX6NBoVAgQJ6U1MVXOaj8PK2l7WJ3RER9xtqwdhxkhw/edit?usp=sharing"",""จันทบุรี!J274"")"),0)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IFERROR(__xludf.DUMMYFUNCTION("IMPORTRANGE(""https://docs.google.com/spreadsheets/d/1SX6NBoVAgQJ6U1MVXOaj8PK2l7WJ3RER9xtqwdhxkhw/edit?usp=sharing"",""จันทบุรี!M275"")"),75480)</f>
        <v>75480</v>
      </c>
      <c r="O380" s="373">
        <f ca="1">+IF(L380&gt;0,N380*100/L380,0)</f>
        <v>16.403703220758899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IFERROR(__xludf.DUMMYFUNCTION("IMPORTRANGE(""https://docs.google.com/spreadsheets/d/1SX6NBoVAgQJ6U1MVXOaj8PK2l7WJ3RER9xtqwdhxkhw/edit?usp=sharing"",""จันทบุรี!L277"")"),0)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IFERROR(__xludf.DUMMYFUNCTION("IMPORTRANGE(""https://docs.google.com/spreadsheets/d/1SX6NBoVAgQJ6U1MVXOaj8PK2l7WJ3RER9xtqwdhxkhw/edit?usp=sharing"",""จันทบุรี!M277"")"),0)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IFERROR(__xludf.DUMMYFUNCTION("IMPORTRANGE(""https://docs.google.com/spreadsheets/d/1SX6NBoVAgQJ6U1MVXOaj8PK2l7WJ3RER9xtqwdhxkhw/edit?usp=sharing"",""จันทบุรี!L278"")"),460140)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IFERROR(__xludf.DUMMYFUNCTION("IMPORTRANGE(""https://docs.google.com/spreadsheets/d/1SX6NBoVAgQJ6U1MVXOaj8PK2l7WJ3RER9xtqwdhxkhw/edit?usp=sharing"",""จันทบุรี!M278"")"),75480)</f>
        <v>75480</v>
      </c>
      <c r="O383" s="165">
        <f t="shared" ca="1" si="109"/>
        <v>16.403703220758899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IFERROR(__xludf.DUMMYFUNCTION("IMPORTRANGE(""https://docs.google.com/spreadsheets/d/1SX6NBoVAgQJ6U1MVXOaj8PK2l7WJ3RER9xtqwdhxkhw/edit?usp=sharing"",""จันทบุรี!L279"")"),0)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IFERROR(__xludf.DUMMYFUNCTION("IMPORTRANGE(""https://docs.google.com/spreadsheets/d/1SX6NBoVAgQJ6U1MVXOaj8PK2l7WJ3RER9xtqwdhxkhw/edit?usp=sharing"",""จันทบุรี!M279"")"),0)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IFERROR(__xludf.DUMMYFUNCTION("IMPORTRANGE(""https://docs.google.com/spreadsheets/d/1SX6NBoVAgQJ6U1MVXOaj8PK2l7WJ3RER9xtqwdhxkhw/edit?usp=sharing"",""จันทบุรี!L280"")"),460140)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IFERROR(__xludf.DUMMYFUNCTION("IMPORTRANGE(""https://docs.google.com/spreadsheets/d/1SX6NBoVAgQJ6U1MVXOaj8PK2l7WJ3RER9xtqwdhxkhw/edit?usp=sharing"",""จันทบุรี!M280"")"),75480)</f>
        <v>75480</v>
      </c>
      <c r="O385" s="169">
        <f t="shared" ca="1" si="109"/>
        <v>16.403703220758899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IFERROR(__xludf.DUMMYFUNCTION("IMPORTRANGE(""https://docs.google.com/spreadsheets/d/1SX6NBoVAgQJ6U1MVXOaj8PK2l7WJ3RER9xtqwdhxkhw/edit?usp=sharing"",""จันทบุรี!M281"")"),60830)</f>
        <v>60830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IFERROR(__xludf.DUMMYFUNCTION("IMPORTRANGE(""https://docs.google.com/spreadsheets/d/1SX6NBoVAgQJ6U1MVXOaj8PK2l7WJ3RER9xtqwdhxkhw/edit?usp=sharing"",""จันทบุรี!M282"")"),0)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IFERROR(__xludf.DUMMYFUNCTION("IMPORTRANGE(""https://docs.google.com/spreadsheets/d/1SX6NBoVAgQJ6U1MVXOaj8PK2l7WJ3RER9xtqwdhxkhw/edit?usp=sharing"",""จันทบุรี!M284"")"),14650)</f>
        <v>14650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IFERROR(__xludf.DUMMYFUNCTION("IMPORTRANGE(""https://docs.google.com/spreadsheets/d/1SX6NBoVAgQJ6U1MVXOaj8PK2l7WJ3RER9xtqwdhxkhw/edit?usp=sharing"",""จันทบุรี!J286"")"),0)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IFERROR(__xludf.DUMMYFUNCTION("IMPORTRANGE(""https://docs.google.com/spreadsheets/d/1SX6NBoVAgQJ6U1MVXOaj8PK2l7WJ3RER9xtqwdhxkhw/edit?usp=sharing"",""จันทบุรี!J287"")"),1)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IFERROR(__xludf.DUMMYFUNCTION("IMPORTRANGE(""https://docs.google.com/spreadsheets/d/1SX6NBoVAgQJ6U1MVXOaj8PK2l7WJ3RER9xtqwdhxkhw/edit?usp=sharing"",""จันทบุรี!J288"")"),1)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IFERROR(__xludf.DUMMYFUNCTION("IMPORTRANGE(""https://docs.google.com/spreadsheets/d/1SX6NBoVAgQJ6U1MVXOaj8PK2l7WJ3RER9xtqwdhxkhw/edit?usp=sharing"",""จันทบุรี!J289"")"),1)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IFERROR(__xludf.DUMMYFUNCTION("IMPORTRANGE(""https://docs.google.com/spreadsheets/d/1SX6NBoVAgQJ6U1MVXOaj8PK2l7WJ3RER9xtqwdhxkhw/edit?usp=sharing"",""จันทบุรี!I291"")"),50)</f>
        <v>50</v>
      </c>
      <c r="J396" s="198">
        <f ca="1">IFERROR(__xludf.DUMMYFUNCTION("IMPORTRANGE(""https://docs.google.com/spreadsheets/d/1SX6NBoVAgQJ6U1MVXOaj8PK2l7WJ3RER9xtqwdhxkhw/edit?usp=sharing"",""จันทบุรี!J291"")"),50)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IFERROR(__xludf.DUMMYFUNCTION("IMPORTRANGE(""https://docs.google.com/spreadsheets/d/1SX6NBoVAgQJ6U1MVXOaj8PK2l7WJ3RER9xtqwdhxkhw/edit?usp=sharing"",""จันทบุรี!I292"")"),500)</f>
        <v>500</v>
      </c>
      <c r="J397" s="198">
        <f ca="1">IFERROR(__xludf.DUMMYFUNCTION("IMPORTRANGE(""https://docs.google.com/spreadsheets/d/1SX6NBoVAgQJ6U1MVXOaj8PK2l7WJ3RER9xtqwdhxkhw/edit?usp=sharing"",""จันทบุรี!J292"")"),0)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IFERROR(__xludf.DUMMYFUNCTION("IMPORTRANGE(""https://docs.google.com/spreadsheets/d/1SX6NBoVAgQJ6U1MVXOaj8PK2l7WJ3RER9xtqwdhxkhw/edit?usp=sharing"",""จันทบุรี!I293"")"),50)</f>
        <v>50</v>
      </c>
      <c r="J398" s="198">
        <f ca="1">IFERROR(__xludf.DUMMYFUNCTION("IMPORTRANGE(""https://docs.google.com/spreadsheets/d/1SX6NBoVAgQJ6U1MVXOaj8PK2l7WJ3RER9xtqwdhxkhw/edit?usp=sharing"",""จันทบุรี!J293"")"),0)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IFERROR(__xludf.DUMMYFUNCTION("IMPORTRANGE(""https://docs.google.com/spreadsheets/d/1SX6NBoVAgQJ6U1MVXOaj8PK2l7WJ3RER9xtqwdhxkhw/edit?usp=sharing"",""จันทบุรี!J294"")"),0)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IFERROR(__xludf.DUMMYFUNCTION("IMPORTRANGE(""https://docs.google.com/spreadsheets/d/1SX6NBoVAgQJ6U1MVXOaj8PK2l7WJ3RER9xtqwdhxkhw/edit?usp=sharing"",""จันทบุรี!J295"")"),0)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IFERROR(__xludf.DUMMYFUNCTION("IMPORTRANGE(""https://docs.google.com/spreadsheets/d/1SX6NBoVAgQJ6U1MVXOaj8PK2l7WJ3RER9xtqwdhxkhw/edit?usp=sharing"",""จันทบุรี!M296"")"),37745)</f>
        <v>37745</v>
      </c>
      <c r="O401" s="373">
        <f ca="1">+IF(L401&gt;0,N401*100/L401,0)</f>
        <v>26.110265633646929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IFERROR(__xludf.DUMMYFUNCTION("IMPORTRANGE(""https://docs.google.com/spreadsheets/d/1SX6NBoVAgQJ6U1MVXOaj8PK2l7WJ3RER9xtqwdhxkhw/edit?usp=sharing"",""จันทบุรี!L298"")"),0)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IFERROR(__xludf.DUMMYFUNCTION("IMPORTRANGE(""https://docs.google.com/spreadsheets/d/1SX6NBoVAgQJ6U1MVXOaj8PK2l7WJ3RER9xtqwdhxkhw/edit?usp=sharing"",""จันทบุรี!M298"")"),0)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IFERROR(__xludf.DUMMYFUNCTION("IMPORTRANGE(""https://docs.google.com/spreadsheets/d/1SX6NBoVAgQJ6U1MVXOaj8PK2l7WJ3RER9xtqwdhxkhw/edit?usp=sharing"",""จันทบุรี!L299"")"),144560)</f>
        <v>144560</v>
      </c>
      <c r="M404" s="165"/>
      <c r="N404" s="169">
        <f ca="1">IFERROR(__xludf.DUMMYFUNCTION("IMPORTRANGE(""https://docs.google.com/spreadsheets/d/1SX6NBoVAgQJ6U1MVXOaj8PK2l7WJ3RER9xtqwdhxkhw/edit?usp=sharing"",""จันทบุรี!M299"")"),37745)</f>
        <v>37745</v>
      </c>
      <c r="O404" s="169">
        <f t="shared" ca="1" si="112"/>
        <v>26.110265633646929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IFERROR(__xludf.DUMMYFUNCTION("IMPORTRANGE(""https://docs.google.com/spreadsheets/d/1SX6NBoVAgQJ6U1MVXOaj8PK2l7WJ3RER9xtqwdhxkhw/edit?usp=sharing"",""จันทบุรี!L300"")"),0)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IFERROR(__xludf.DUMMYFUNCTION("IMPORTRANGE(""https://docs.google.com/spreadsheets/d/1SX6NBoVAgQJ6U1MVXOaj8PK2l7WJ3RER9xtqwdhxkhw/edit?usp=sharing"",""จันทบุรี!M300"")"),0)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IFERROR(__xludf.DUMMYFUNCTION("IMPORTRANGE(""https://docs.google.com/spreadsheets/d/1SX6NBoVAgQJ6U1MVXOaj8PK2l7WJ3RER9xtqwdhxkhw/edit?usp=sharing"",""จันทบุรี!L301"")"),144560)</f>
        <v>144560</v>
      </c>
      <c r="M406" s="169"/>
      <c r="N406" s="169">
        <f ca="1">IFERROR(__xludf.DUMMYFUNCTION("IMPORTRANGE(""https://docs.google.com/spreadsheets/d/1SX6NBoVAgQJ6U1MVXOaj8PK2l7WJ3RER9xtqwdhxkhw/edit?usp=sharing"",""จันทบุรี!M301"")"),37745)</f>
        <v>37745</v>
      </c>
      <c r="O406" s="169">
        <f t="shared" ca="1" si="112"/>
        <v>26.110265633646929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IFERROR(__xludf.DUMMYFUNCTION("IMPORTRANGE(""https://docs.google.com/spreadsheets/d/1SX6NBoVAgQJ6U1MVXOaj8PK2l7WJ3RER9xtqwdhxkhw/edit?usp=sharing"",""จันทบุรี!M302"")"),30055)</f>
        <v>30055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IFERROR(__xludf.DUMMYFUNCTION("IMPORTRANGE(""https://docs.google.com/spreadsheets/d/1SX6NBoVAgQJ6U1MVXOaj8PK2l7WJ3RER9xtqwdhxkhw/edit?usp=sharing"",""จันทบุรี!M303"")"),0)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IFERROR(__xludf.DUMMYFUNCTION("IMPORTRANGE(""https://docs.google.com/spreadsheets/d/1SX6NBoVAgQJ6U1MVXOaj8PK2l7WJ3RER9xtqwdhxkhw/edit?usp=sharing"",""จันทบุรี!M305"")"),7690)</f>
        <v>7690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IFERROR(__xludf.DUMMYFUNCTION("IMPORTRANGE(""https://docs.google.com/spreadsheets/d/1SX6NBoVAgQJ6U1MVXOaj8PK2l7WJ3RER9xtqwdhxkhw/edit?usp=sharing"",""จันทบุรี!J307"")"),0)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IFERROR(__xludf.DUMMYFUNCTION("IMPORTRANGE(""https://docs.google.com/spreadsheets/d/1SX6NBoVAgQJ6U1MVXOaj8PK2l7WJ3RER9xtqwdhxkhw/edit?usp=sharing"",""จันทบุรี!J308"")"),1)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IFERROR(__xludf.DUMMYFUNCTION("IMPORTRANGE(""https://docs.google.com/spreadsheets/d/1SX6NBoVAgQJ6U1MVXOaj8PK2l7WJ3RER9xtqwdhxkhw/edit?usp=sharing"",""จันทบุรี!J309"")"),1)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IFERROR(__xludf.DUMMYFUNCTION("IMPORTRANGE(""https://docs.google.com/spreadsheets/d/1SX6NBoVAgQJ6U1MVXOaj8PK2l7WJ3RER9xtqwdhxkhw/edit?usp=sharing"",""จันทบุรี!J310"")"),1)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IFERROR(__xludf.DUMMYFUNCTION("IMPORTRANGE(""https://docs.google.com/spreadsheets/d/1SX6NBoVAgQJ6U1MVXOaj8PK2l7WJ3RER9xtqwdhxkhw/edit?usp=sharing"",""จันทบุรี!I311"")"),40)</f>
        <v>40</v>
      </c>
      <c r="J416" s="201">
        <f ca="1">IFERROR(__xludf.DUMMYFUNCTION("IMPORTRANGE(""https://docs.google.com/spreadsheets/d/1SX6NBoVAgQJ6U1MVXOaj8PK2l7WJ3RER9xtqwdhxkhw/edit?usp=sharing"",""จันทบุรี!J311"")"),40)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IFERROR(__xludf.DUMMYFUNCTION("IMPORTRANGE(""https://docs.google.com/spreadsheets/d/1SX6NBoVAgQJ6U1MVXOaj8PK2l7WJ3RER9xtqwdhxkhw/edit?usp=sharing"",""จันทบุรี!J328"")"),0)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IFERROR(__xludf.DUMMYFUNCTION("IMPORTRANGE(""https://docs.google.com/spreadsheets/d/1SX6NBoVAgQJ6U1MVXOaj8PK2l7WJ3RER9xtqwdhxkhw/edit?usp=sharing"",""จันทบุรี!J329"")"),0)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IFERROR(__xludf.DUMMYFUNCTION("IMPORTRANGE(""https://docs.google.com/spreadsheets/d/1SX6NBoVAgQJ6U1MVXOaj8PK2l7WJ3RER9xtqwdhxkhw/edit?usp=sharing"",""จันทบุรี!M330"")"),71995)</f>
        <v>71995</v>
      </c>
      <c r="O435" s="412">
        <f t="shared" ref="O435:O439" ca="1" si="114">+IF(L435&gt;0,N435*100/L435,0)</f>
        <v>71.995000000000005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IFERROR(__xludf.DUMMYFUNCTION("IMPORTRANGE(""https://docs.google.com/spreadsheets/d/1SX6NBoVAgQJ6U1MVXOaj8PK2l7WJ3RER9xtqwdhxkhw/edit?usp=sharing"",""จันทบุรี!L331"")"),0)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IFERROR(__xludf.DUMMYFUNCTION("IMPORTRANGE(""https://docs.google.com/spreadsheets/d/1SX6NBoVAgQJ6U1MVXOaj8PK2l7WJ3RER9xtqwdhxkhw/edit?usp=sharing"",""จันทบุรี!M331"")"),0)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IFERROR(__xludf.DUMMYFUNCTION("IMPORTRANGE(""https://docs.google.com/spreadsheets/d/1SX6NBoVAgQJ6U1MVXOaj8PK2l7WJ3RER9xtqwdhxkhw/edit?usp=sharing"",""จันทบุรี!L332"")"),100000)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IFERROR(__xludf.DUMMYFUNCTION("IMPORTRANGE(""https://docs.google.com/spreadsheets/d/1SX6NBoVAgQJ6U1MVXOaj8PK2l7WJ3RER9xtqwdhxkhw/edit?usp=sharing"",""จันทบุรี!M332"")"),71995)</f>
        <v>71995</v>
      </c>
      <c r="O437" s="169">
        <f t="shared" ca="1" si="114"/>
        <v>71.995000000000005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IFERROR(__xludf.DUMMYFUNCTION("IMPORTRANGE(""https://docs.google.com/spreadsheets/d/1SX6NBoVAgQJ6U1MVXOaj8PK2l7WJ3RER9xtqwdhxkhw/edit?usp=sharing"",""จันทบุรี!L333"")"),0)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IFERROR(__xludf.DUMMYFUNCTION("IMPORTRANGE(""https://docs.google.com/spreadsheets/d/1SX6NBoVAgQJ6U1MVXOaj8PK2l7WJ3RER9xtqwdhxkhw/edit?usp=sharing"",""จันทบุรี!M333"")"),0)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IFERROR(__xludf.DUMMYFUNCTION("IMPORTRANGE(""https://docs.google.com/spreadsheets/d/1SX6NBoVAgQJ6U1MVXOaj8PK2l7WJ3RER9xtqwdhxkhw/edit?usp=sharing"",""จันทบุรี!L334"")"),100000)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IFERROR(__xludf.DUMMYFUNCTION("IMPORTRANGE(""https://docs.google.com/spreadsheets/d/1SX6NBoVAgQJ6U1MVXOaj8PK2l7WJ3RER9xtqwdhxkhw/edit?usp=sharing"",""จันทบุรี!M334"")"),71995)</f>
        <v>71995</v>
      </c>
      <c r="O439" s="169">
        <f t="shared" ca="1" si="114"/>
        <v>71.995000000000005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IFERROR(__xludf.DUMMYFUNCTION("IMPORTRANGE(""https://docs.google.com/spreadsheets/d/1SX6NBoVAgQJ6U1MVXOaj8PK2l7WJ3RER9xtqwdhxkhw/edit?usp=sharing"",""จันทบุรี!M335"")"),56235)</f>
        <v>56235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IFERROR(__xludf.DUMMYFUNCTION("IMPORTRANGE(""https://docs.google.com/spreadsheets/d/1SX6NBoVAgQJ6U1MVXOaj8PK2l7WJ3RER9xtqwdhxkhw/edit?usp=sharing"",""จันทบุรี!M338"")"),15760)</f>
        <v>15760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IFERROR(__xludf.DUMMYFUNCTION("IMPORTRANGE(""https://docs.google.com/spreadsheets/d/1SX6NBoVAgQJ6U1MVXOaj8PK2l7WJ3RER9xtqwdhxkhw/edit?usp=sharing"",""จันทบุรี!J340"")"),0)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IFERROR(__xludf.DUMMYFUNCTION("IMPORTRANGE(""https://docs.google.com/spreadsheets/d/1SX6NBoVAgQJ6U1MVXOaj8PK2l7WJ3RER9xtqwdhxkhw/edit?usp=sharing"",""จันทบุรี!J341"")"),1)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IFERROR(__xludf.DUMMYFUNCTION("IMPORTRANGE(""https://docs.google.com/spreadsheets/d/1SX6NBoVAgQJ6U1MVXOaj8PK2l7WJ3RER9xtqwdhxkhw/edit?usp=sharing"",""จันทบุรี!J342"")"),1)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IFERROR(__xludf.DUMMYFUNCTION("IMPORTRANGE(""https://docs.google.com/spreadsheets/d/1SX6NBoVAgQJ6U1MVXOaj8PK2l7WJ3RER9xtqwdhxkhw/edit?usp=sharing"",""จันทบุรี!J343"")"),1)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1">
        <f ca="1">IFERROR(__xludf.DUMMYFUNCTION("IMPORTRANGE(""https://docs.google.com/spreadsheets/d/1SX6NBoVAgQJ6U1MVXOaj8PK2l7WJ3RER9xtqwdhxkhw/edit?usp=sharing"",""จันทบุรี!J344"")"),20)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IFERROR(__xludf.DUMMYFUNCTION("IMPORTRANGE(""https://docs.google.com/spreadsheets/d/1SX6NBoVAgQJ6U1MVXOaj8PK2l7WJ3RER9xtqwdhxkhw/edit?usp=sharing"",""จันทบุรี!I345"")"),20)</f>
        <v>20</v>
      </c>
      <c r="J450" s="189">
        <f ca="1">IFERROR(__xludf.DUMMYFUNCTION("IMPORTRANGE(""https://docs.google.com/spreadsheets/d/1SX6NBoVAgQJ6U1MVXOaj8PK2l7WJ3RER9xtqwdhxkhw/edit?usp=sharing"",""จันทบุรี!J345"")"),20)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IFERROR(__xludf.DUMMYFUNCTION("IMPORTRANGE(""https://docs.google.com/spreadsheets/d/1SX6NBoVAgQJ6U1MVXOaj8PK2l7WJ3RER9xtqwdhxkhw/edit?usp=sharing"",""จันทบุรี!I346"")"),0)</f>
        <v>0</v>
      </c>
      <c r="J451" s="188">
        <f ca="1">IFERROR(__xludf.DUMMYFUNCTION("IMPORTRANGE(""https://docs.google.com/spreadsheets/d/1SX6NBoVAgQJ6U1MVXOaj8PK2l7WJ3RER9xtqwdhxkhw/edit?usp=sharing"",""จันทบุรี!J346"")"),0)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IFERROR(__xludf.DUMMYFUNCTION("IMPORTRANGE(""https://docs.google.com/spreadsheets/d/1SX6NBoVAgQJ6U1MVXOaj8PK2l7WJ3RER9xtqwdhxkhw/edit?usp=sharing"",""จันทบุรี!I347"")"),0)</f>
        <v>0</v>
      </c>
      <c r="J452" s="188">
        <f ca="1">IFERROR(__xludf.DUMMYFUNCTION("IMPORTRANGE(""https://docs.google.com/spreadsheets/d/1SX6NBoVAgQJ6U1MVXOaj8PK2l7WJ3RER9xtqwdhxkhw/edit?usp=sharing"",""จันทบุรี!J347"")"),0)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IFERROR(__xludf.DUMMYFUNCTION("IMPORTRANGE(""https://docs.google.com/spreadsheets/d/1SX6NBoVAgQJ6U1MVXOaj8PK2l7WJ3RER9xtqwdhxkhw/edit?usp=sharing"",""จันทบุรี!J348"")"),0)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IFERROR(__xludf.DUMMYFUNCTION("IMPORTRANGE(""https://docs.google.com/spreadsheets/d/1SX6NBoVAgQJ6U1MVXOaj8PK2l7WJ3RER9xtqwdhxkhw/edit?usp=sharing"",""จันทบุรี!J349"")"),0)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IFERROR(__xludf.DUMMYFUNCTION("IMPORTRANGE(""https://docs.google.com/spreadsheets/d/1SX6NBoVAgQJ6U1MVXOaj8PK2l7WJ3RER9xtqwdhxkhw/edit?usp=sharing"",""จันทบุรี!L350"")"),162553)</f>
        <v>162553</v>
      </c>
      <c r="M455" s="373"/>
      <c r="N455" s="373">
        <f ca="1">IFERROR(__xludf.DUMMYFUNCTION("IMPORTRANGE(""https://docs.google.com/spreadsheets/d/1SX6NBoVAgQJ6U1MVXOaj8PK2l7WJ3RER9xtqwdhxkhw/edit?usp=sharing"",""จันทบุรี!M350"")"),40960)</f>
        <v>40960</v>
      </c>
      <c r="O455" s="373">
        <f t="shared" ref="O455:O459" ca="1" si="116">+IF(L455&gt;0,N455*100/L455,0)</f>
        <v>25.197935442594108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IFERROR(__xludf.DUMMYFUNCTION("IMPORTRANGE(""https://docs.google.com/spreadsheets/d/1SX6NBoVAgQJ6U1MVXOaj8PK2l7WJ3RER9xtqwdhxkhw/edit?usp=sharing"",""จันทบุรี!L351"")"),0)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IFERROR(__xludf.DUMMYFUNCTION("IMPORTRANGE(""https://docs.google.com/spreadsheets/d/1SX6NBoVAgQJ6U1MVXOaj8PK2l7WJ3RER9xtqwdhxkhw/edit?usp=sharing"",""จันทบุรี!M351"")"),0)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IFERROR(__xludf.DUMMYFUNCTION("IMPORTRANGE(""https://docs.google.com/spreadsheets/d/1SX6NBoVAgQJ6U1MVXOaj8PK2l7WJ3RER9xtqwdhxkhw/edit?usp=sharing"",""จันทบุรี!L352"")"),162553)</f>
        <v>162553</v>
      </c>
      <c r="M457" s="165"/>
      <c r="N457" s="169">
        <f ca="1">IFERROR(__xludf.DUMMYFUNCTION("IMPORTRANGE(""https://docs.google.com/spreadsheets/d/1SX6NBoVAgQJ6U1MVXOaj8PK2l7WJ3RER9xtqwdhxkhw/edit?usp=sharing"",""จันทบุรี!M352"")"),40960)</f>
        <v>40960</v>
      </c>
      <c r="O457" s="169">
        <f t="shared" ca="1" si="116"/>
        <v>25.197935442594108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IFERROR(__xludf.DUMMYFUNCTION("IMPORTRANGE(""https://docs.google.com/spreadsheets/d/1SX6NBoVAgQJ6U1MVXOaj8PK2l7WJ3RER9xtqwdhxkhw/edit?usp=sharing"",""จันทบุรี!L353"")"),0)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IFERROR(__xludf.DUMMYFUNCTION("IMPORTRANGE(""https://docs.google.com/spreadsheets/d/1SX6NBoVAgQJ6U1MVXOaj8PK2l7WJ3RER9xtqwdhxkhw/edit?usp=sharing"",""จันทบุรี!M353"")"),0)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IFERROR(__xludf.DUMMYFUNCTION("IMPORTRANGE(""https://docs.google.com/spreadsheets/d/1SX6NBoVAgQJ6U1MVXOaj8PK2l7WJ3RER9xtqwdhxkhw/edit?usp=sharing"",""จันทบุรี!L354"")"),162553)</f>
        <v>162553</v>
      </c>
      <c r="M459" s="169"/>
      <c r="N459" s="169">
        <f ca="1">IFERROR(__xludf.DUMMYFUNCTION("IMPORTRANGE(""https://docs.google.com/spreadsheets/d/1SX6NBoVAgQJ6U1MVXOaj8PK2l7WJ3RER9xtqwdhxkhw/edit?usp=sharing"",""จันทบุรี!M354"")"),40960)</f>
        <v>40960</v>
      </c>
      <c r="O459" s="169">
        <f t="shared" ca="1" si="116"/>
        <v>25.197935442594108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IFERROR(__xludf.DUMMYFUNCTION("IMPORTRANGE(""https://docs.google.com/spreadsheets/d/1SX6NBoVAgQJ6U1MVXOaj8PK2l7WJ3RER9xtqwdhxkhw/edit?usp=sharing"",""จันทบุรี!M355"")"),0)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IFERROR(__xludf.DUMMYFUNCTION("IMPORTRANGE(""https://docs.google.com/spreadsheets/d/1SX6NBoVAgQJ6U1MVXOaj8PK2l7WJ3RER9xtqwdhxkhw/edit?usp=sharing"",""จันทบุรี!M356"")"),0)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IFERROR(__xludf.DUMMYFUNCTION("IMPORTRANGE(""https://docs.google.com/spreadsheets/d/1SX6NBoVAgQJ6U1MVXOaj8PK2l7WJ3RER9xtqwdhxkhw/edit?usp=sharing"",""จันทบุรี!M358"")"),40960)</f>
        <v>40960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IFERROR(__xludf.DUMMYFUNCTION("IMPORTRANGE(""https://docs.google.com/spreadsheets/d/1SX6NBoVAgQJ6U1MVXOaj8PK2l7WJ3RER9xtqwdhxkhw/edit?usp=sharing"",""จันทบุรี!I359"")"),18211)</f>
        <v>18211</v>
      </c>
      <c r="J464" s="268">
        <f ca="1">IFERROR(__xludf.DUMMYFUNCTION("IMPORTRANGE(""https://docs.google.com/spreadsheets/d/1SX6NBoVAgQJ6U1MVXOaj8PK2l7WJ3RER9xtqwdhxkhw/edit?usp=sharing"",""จันทบุรี!J359"")"),0)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2">
        <f t="shared" ca="1" si="117"/>
        <v>99.998572291471632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IFERROR(__xludf.DUMMYFUNCTION("IMPORTRANGE(""https://docs.google.com/spreadsheets/d/1SX6NBoVAgQJ6U1MVXOaj8PK2l7WJ3RER9xtqwdhxkhw/edit?usp=sharing"",""จันทบุรี!I362"")"),0)</f>
        <v>0</v>
      </c>
      <c r="J467" s="189">
        <f ca="1">IFERROR(__xludf.DUMMYFUNCTION("IMPORTRANGE(""https://docs.google.com/spreadsheets/d/1SX6NBoVAgQJ6U1MVXOaj8PK2l7WJ3RER9xtqwdhxkhw/edit?usp=sharing"",""จันทบุรี!J362"")"),11017)</f>
        <v>11017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IFERROR(__xludf.DUMMYFUNCTION("IMPORTRANGE(""https://docs.google.com/spreadsheets/d/1SX6NBoVAgQJ6U1MVXOaj8PK2l7WJ3RER9xtqwdhxkhw/edit?usp=sharing"",""จันทบุรี!I363"")"),0)</f>
        <v>0</v>
      </c>
      <c r="J468" s="189">
        <f ca="1">IFERROR(__xludf.DUMMYFUNCTION("IMPORTRANGE(""https://docs.google.com/spreadsheets/d/1SX6NBoVAgQJ6U1MVXOaj8PK2l7WJ3RER9xtqwdhxkhw/edit?usp=sharing"",""จันทบุรี!J363"")"),883)</f>
        <v>883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IFERROR(__xludf.DUMMYFUNCTION("IMPORTRANGE(""https://docs.google.com/spreadsheets/d/1SX6NBoVAgQJ6U1MVXOaj8PK2l7WJ3RER9xtqwdhxkhw/edit?usp=sharing"",""จันทบุรี!I364"")"),0)</f>
        <v>0</v>
      </c>
      <c r="J469" s="189">
        <f ca="1">IFERROR(__xludf.DUMMYFUNCTION("IMPORTRANGE(""https://docs.google.com/spreadsheets/d/1SX6NBoVAgQJ6U1MVXOaj8PK2l7WJ3RER9xtqwdhxkhw/edit?usp=sharing"",""จันทบุรี!J364"")"),6212.74)</f>
        <v>6212.74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IFERROR(__xludf.DUMMYFUNCTION("IMPORTRANGE(""https://docs.google.com/spreadsheets/d/1SX6NBoVAgQJ6U1MVXOaj8PK2l7WJ3RER9xtqwdhxkhw/edit?usp=sharing"",""จันทบุรี!I365"")"),0)</f>
        <v>0</v>
      </c>
      <c r="J470" s="189">
        <f ca="1">IFERROR(__xludf.DUMMYFUNCTION("IMPORTRANGE(""https://docs.google.com/spreadsheets/d/1SX6NBoVAgQJ6U1MVXOaj8PK2l7WJ3RER9xtqwdhxkhw/edit?usp=sharing"",""จันทบุรี!J365"")"),447)</f>
        <v>447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IFERROR(__xludf.DUMMYFUNCTION("IMPORTRANGE(""https://docs.google.com/spreadsheets/d/1SX6NBoVAgQJ6U1MVXOaj8PK2l7WJ3RER9xtqwdhxkhw/edit?usp=sharing"",""จันทบุรี!I366"")"),0)</f>
        <v>0</v>
      </c>
      <c r="J471" s="189">
        <f ca="1">IFERROR(__xludf.DUMMYFUNCTION("IMPORTRANGE(""https://docs.google.com/spreadsheets/d/1SX6NBoVAgQJ6U1MVXOaj8PK2l7WJ3RER9xtqwdhxkhw/edit?usp=sharing"",""จันทบุรี!J366"")"),981)</f>
        <v>981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IFERROR(__xludf.DUMMYFUNCTION("IMPORTRANGE(""https://docs.google.com/spreadsheets/d/1SX6NBoVAgQJ6U1MVXOaj8PK2l7WJ3RER9xtqwdhxkhw/edit?usp=sharing"",""จันทบุรี!I367"")"),0)</f>
        <v>0</v>
      </c>
      <c r="J472" s="189">
        <f ca="1">IFERROR(__xludf.DUMMYFUNCTION("IMPORTRANGE(""https://docs.google.com/spreadsheets/d/1SX6NBoVAgQJ6U1MVXOaj8PK2l7WJ3RER9xtqwdhxkhw/edit?usp=sharing"",""จันทบุรี!J367"")"),91)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IFERROR(__xludf.DUMMYFUNCTION("IMPORTRANGE(""https://docs.google.com/spreadsheets/d/1SX6NBoVAgQJ6U1MVXOaj8PK2l7WJ3RER9xtqwdhxkhw/edit?usp=sharing"",""จันทบุรี!J368"")"),18211)</f>
        <v>18211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IFERROR(__xludf.DUMMYFUNCTION("IMPORTRANGE(""https://docs.google.com/spreadsheets/d/1SX6NBoVAgQJ6U1MVXOaj8PK2l7WJ3RER9xtqwdhxkhw/edit?usp=sharing"",""จันทบุรี!J369"")"),1421)</f>
        <v>1421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IFERROR(__xludf.DUMMYFUNCTION("IMPORTRANGE(""https://docs.google.com/spreadsheets/d/1SX6NBoVAgQJ6U1MVXOaj8PK2l7WJ3RER9xtqwdhxkhw/edit?usp=sharing"",""จันทบุรี!I370"")"),0)</f>
        <v>0</v>
      </c>
      <c r="J475" s="189">
        <f ca="1">IFERROR(__xludf.DUMMYFUNCTION("IMPORTRANGE(""https://docs.google.com/spreadsheets/d/1SX6NBoVAgQJ6U1MVXOaj8PK2l7WJ3RER9xtqwdhxkhw/edit?usp=sharing"",""จันทบุรี!J370"")"),11154)</f>
        <v>11154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IFERROR(__xludf.DUMMYFUNCTION("IMPORTRANGE(""https://docs.google.com/spreadsheets/d/1SX6NBoVAgQJ6U1MVXOaj8PK2l7WJ3RER9xtqwdhxkhw/edit?usp=sharing"",""จันทบุรี!I371"")"),0)</f>
        <v>0</v>
      </c>
      <c r="J476" s="189">
        <f ca="1">IFERROR(__xludf.DUMMYFUNCTION("IMPORTRANGE(""https://docs.google.com/spreadsheets/d/1SX6NBoVAgQJ6U1MVXOaj8PK2l7WJ3RER9xtqwdhxkhw/edit?usp=sharing"",""จันทบุรี!J371"")"),890)</f>
        <v>890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IFERROR(__xludf.DUMMYFUNCTION("IMPORTRANGE(""https://docs.google.com/spreadsheets/d/1SX6NBoVAgQJ6U1MVXOaj8PK2l7WJ3RER9xtqwdhxkhw/edit?usp=sharing"",""จันทบุรี!I372"")"),0)</f>
        <v>0</v>
      </c>
      <c r="J477" s="189">
        <f ca="1">IFERROR(__xludf.DUMMYFUNCTION("IMPORTRANGE(""https://docs.google.com/spreadsheets/d/1SX6NBoVAgQJ6U1MVXOaj8PK2l7WJ3RER9xtqwdhxkhw/edit?usp=sharing"",""จันทบุรี!J372"")"),6076)</f>
        <v>6076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IFERROR(__xludf.DUMMYFUNCTION("IMPORTRANGE(""https://docs.google.com/spreadsheets/d/1SX6NBoVAgQJ6U1MVXOaj8PK2l7WJ3RER9xtqwdhxkhw/edit?usp=sharing"",""จันทบุรี!I373"")"),0)</f>
        <v>0</v>
      </c>
      <c r="J478" s="189">
        <f ca="1">IFERROR(__xludf.DUMMYFUNCTION("IMPORTRANGE(""https://docs.google.com/spreadsheets/d/1SX6NBoVAgQJ6U1MVXOaj8PK2l7WJ3RER9xtqwdhxkhw/edit?usp=sharing"",""จันทบุรี!J373"")"),440)</f>
        <v>440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IFERROR(__xludf.DUMMYFUNCTION("IMPORTRANGE(""https://docs.google.com/spreadsheets/d/1SX6NBoVAgQJ6U1MVXOaj8PK2l7WJ3RER9xtqwdhxkhw/edit?usp=sharing"",""จันทบุรี!I374"")"),0)</f>
        <v>0</v>
      </c>
      <c r="J479" s="189">
        <f ca="1">IFERROR(__xludf.DUMMYFUNCTION("IMPORTRANGE(""https://docs.google.com/spreadsheets/d/1SX6NBoVAgQJ6U1MVXOaj8PK2l7WJ3RER9xtqwdhxkhw/edit?usp=sharing"",""จันทบุรี!J374"")"),981)</f>
        <v>981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IFERROR(__xludf.DUMMYFUNCTION("IMPORTRANGE(""https://docs.google.com/spreadsheets/d/1SX6NBoVAgQJ6U1MVXOaj8PK2l7WJ3RER9xtqwdhxkhw/edit?usp=sharing"",""จันทบุรี!I375"")"),0)</f>
        <v>0</v>
      </c>
      <c r="J480" s="189">
        <f ca="1">IFERROR(__xludf.DUMMYFUNCTION("IMPORTRANGE(""https://docs.google.com/spreadsheets/d/1SX6NBoVAgQJ6U1MVXOaj8PK2l7WJ3RER9xtqwdhxkhw/edit?usp=sharing"",""จันทบุรี!J375"")"),91)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IFERROR(__xludf.DUMMYFUNCTION("IMPORTRANGE(""https://docs.google.com/spreadsheets/d/1SX6NBoVAgQJ6U1MVXOaj8PK2l7WJ3RER9xtqwdhxkhw/edit?usp=sharing"",""จันทบุรี!I378"")"),0)</f>
        <v>0</v>
      </c>
      <c r="J483" s="189">
        <f ca="1">IFERROR(__xludf.DUMMYFUNCTION("IMPORTRANGE(""https://docs.google.com/spreadsheets/d/1SX6NBoVAgQJ6U1MVXOaj8PK2l7WJ3RER9xtqwdhxkhw/edit?usp=sharing"",""จันทบุรี!J378"")"),0)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IFERROR(__xludf.DUMMYFUNCTION("IMPORTRANGE(""https://docs.google.com/spreadsheets/d/1SX6NBoVAgQJ6U1MVXOaj8PK2l7WJ3RER9xtqwdhxkhw/edit?usp=sharing"",""จันทบุรี!I379"")"),0)</f>
        <v>0</v>
      </c>
      <c r="J484" s="189">
        <f ca="1">IFERROR(__xludf.DUMMYFUNCTION("IMPORTRANGE(""https://docs.google.com/spreadsheets/d/1SX6NBoVAgQJ6U1MVXOaj8PK2l7WJ3RER9xtqwdhxkhw/edit?usp=sharing"",""จันทบุรี!J379"")"),0)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IFERROR(__xludf.DUMMYFUNCTION("IMPORTRANGE(""https://docs.google.com/spreadsheets/d/1SX6NBoVAgQJ6U1MVXOaj8PK2l7WJ3RER9xtqwdhxkhw/edit?usp=sharing"",""จันทบุรี!I380"")"),0)</f>
        <v>0</v>
      </c>
      <c r="J485" s="189">
        <f ca="1">IFERROR(__xludf.DUMMYFUNCTION("IMPORTRANGE(""https://docs.google.com/spreadsheets/d/1SX6NBoVAgQJ6U1MVXOaj8PK2l7WJ3RER9xtqwdhxkhw/edit?usp=sharing"",""จันทบุรี!J380"")"),0)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IFERROR(__xludf.DUMMYFUNCTION("IMPORTRANGE(""https://docs.google.com/spreadsheets/d/1SX6NBoVAgQJ6U1MVXOaj8PK2l7WJ3RER9xtqwdhxkhw/edit?usp=sharing"",""จันทบุรี!I381"")"),0)</f>
        <v>0</v>
      </c>
      <c r="J486" s="189">
        <f ca="1">IFERROR(__xludf.DUMMYFUNCTION("IMPORTRANGE(""https://docs.google.com/spreadsheets/d/1SX6NBoVAgQJ6U1MVXOaj8PK2l7WJ3RER9xtqwdhxkhw/edit?usp=sharing"",""จันทบุรี!J381"")"),0)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IFERROR(__xludf.DUMMYFUNCTION("IMPORTRANGE(""https://docs.google.com/spreadsheets/d/1SX6NBoVAgQJ6U1MVXOaj8PK2l7WJ3RER9xtqwdhxkhw/edit?usp=sharing"",""จันทบุรี!I384"")"),0)</f>
        <v>0</v>
      </c>
      <c r="J489" s="189">
        <f ca="1">IFERROR(__xludf.DUMMYFUNCTION("IMPORTRANGE(""https://docs.google.com/spreadsheets/d/1SX6NBoVAgQJ6U1MVXOaj8PK2l7WJ3RER9xtqwdhxkhw/edit?usp=sharing"",""จันทบุรี!J384"")"),0)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IFERROR(__xludf.DUMMYFUNCTION("IMPORTRANGE(""https://docs.google.com/spreadsheets/d/1SX6NBoVAgQJ6U1MVXOaj8PK2l7WJ3RER9xtqwdhxkhw/edit?usp=sharing"",""จันทบุรี!I385"")"),0)</f>
        <v>0</v>
      </c>
      <c r="J490" s="189">
        <f ca="1">IFERROR(__xludf.DUMMYFUNCTION("IMPORTRANGE(""https://docs.google.com/spreadsheets/d/1SX6NBoVAgQJ6U1MVXOaj8PK2l7WJ3RER9xtqwdhxkhw/edit?usp=sharing"",""จันทบุรี!J385"")"),0)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IFERROR(__xludf.DUMMYFUNCTION("IMPORTRANGE(""https://docs.google.com/spreadsheets/d/1SX6NBoVAgQJ6U1MVXOaj8PK2l7WJ3RER9xtqwdhxkhw/edit?usp=sharing"",""จันทบุรี!I386"")"),0)</f>
        <v>0</v>
      </c>
      <c r="J491" s="189">
        <f ca="1">IFERROR(__xludf.DUMMYFUNCTION("IMPORTRANGE(""https://docs.google.com/spreadsheets/d/1SX6NBoVAgQJ6U1MVXOaj8PK2l7WJ3RER9xtqwdhxkhw/edit?usp=sharing"",""จันทบุรี!J386"")"),0)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IFERROR(__xludf.DUMMYFUNCTION("IMPORTRANGE(""https://docs.google.com/spreadsheets/d/1SX6NBoVAgQJ6U1MVXOaj8PK2l7WJ3RER9xtqwdhxkhw/edit?usp=sharing"",""จันทบุรี!I387"")"),0)</f>
        <v>0</v>
      </c>
      <c r="J492" s="189">
        <f ca="1">IFERROR(__xludf.DUMMYFUNCTION("IMPORTRANGE(""https://docs.google.com/spreadsheets/d/1SX6NBoVAgQJ6U1MVXOaj8PK2l7WJ3RER9xtqwdhxkhw/edit?usp=sharing"",""จันทบุรี!J387"")"),0)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IFERROR(__xludf.DUMMYFUNCTION("IMPORTRANGE(""https://docs.google.com/spreadsheets/d/1SX6NBoVAgQJ6U1MVXOaj8PK2l7WJ3RER9xtqwdhxkhw/edit?usp=sharing"",""จันทบุรี!I388"")"),0)</f>
        <v>0</v>
      </c>
      <c r="J493" s="189">
        <f ca="1">IFERROR(__xludf.DUMMYFUNCTION("IMPORTRANGE(""https://docs.google.com/spreadsheets/d/1SX6NBoVAgQJ6U1MVXOaj8PK2l7WJ3RER9xtqwdhxkhw/edit?usp=sharing"",""จันทบุรี!J388"")"),0)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IFERROR(__xludf.DUMMYFUNCTION("IMPORTRANGE(""https://docs.google.com/spreadsheets/d/1SX6NBoVAgQJ6U1MVXOaj8PK2l7WJ3RER9xtqwdhxkhw/edit?usp=sharing"",""จันทบุรี!J392"")"),497)</f>
        <v>497</v>
      </c>
      <c r="K497" s="444">
        <f t="shared" ca="1" si="117"/>
        <v>63.473818646232438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IFERROR(__xludf.DUMMYFUNCTION("IMPORTRANGE(""https://docs.google.com/spreadsheets/d/1SX6NBoVAgQJ6U1MVXOaj8PK2l7WJ3RER9xtqwdhxkhw/edit?usp=sharing"",""จันทบุรี!J393"")"),497)</f>
        <v>497</v>
      </c>
      <c r="K498" s="202">
        <f t="shared" ca="1" si="117"/>
        <v>63.473818646232438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IFERROR(__xludf.DUMMYFUNCTION("IMPORTRANGE(""https://docs.google.com/spreadsheets/d/1SX6NBoVAgQJ6U1MVXOaj8PK2l7WJ3RER9xtqwdhxkhw/edit?usp=sharing"",""จันทบุรี!J394"")"),49)</f>
        <v>49</v>
      </c>
      <c r="K499" s="202">
        <f t="shared" ca="1" si="117"/>
        <v>67.123287671232873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IFERROR(__xludf.DUMMYFUNCTION("IMPORTRANGE(""https://docs.google.com/spreadsheets/d/1SX6NBoVAgQJ6U1MVXOaj8PK2l7WJ3RER9xtqwdhxkhw/edit?usp=sharing"",""จันทบุรี!I395"")"),0)</f>
        <v>0</v>
      </c>
      <c r="J500" s="162">
        <f ca="1">IFERROR(__xludf.DUMMYFUNCTION("IMPORTRANGE(""https://docs.google.com/spreadsheets/d/1SX6NBoVAgQJ6U1MVXOaj8PK2l7WJ3RER9xtqwdhxkhw/edit?usp=sharing"",""จันทบุรี!J395"")"),467)</f>
        <v>467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IFERROR(__xludf.DUMMYFUNCTION("IMPORTRANGE(""https://docs.google.com/spreadsheets/d/1SX6NBoVAgQJ6U1MVXOaj8PK2l7WJ3RER9xtqwdhxkhw/edit?usp=sharing"",""จันทบุรี!I396"")"),0)</f>
        <v>0</v>
      </c>
      <c r="J501" s="162">
        <f ca="1">IFERROR(__xludf.DUMMYFUNCTION("IMPORTRANGE(""https://docs.google.com/spreadsheets/d/1SX6NBoVAgQJ6U1MVXOaj8PK2l7WJ3RER9xtqwdhxkhw/edit?usp=sharing"",""จันทบุรี!J396"")"),43)</f>
        <v>43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IFERROR(__xludf.DUMMYFUNCTION("IMPORTRANGE(""https://docs.google.com/spreadsheets/d/1SX6NBoVAgQJ6U1MVXOaj8PK2l7WJ3RER9xtqwdhxkhw/edit?usp=sharing"",""จันทบุรี!I397"")"),0)</f>
        <v>0</v>
      </c>
      <c r="J502" s="189">
        <f ca="1">IFERROR(__xludf.DUMMYFUNCTION("IMPORTRANGE(""https://docs.google.com/spreadsheets/d/1SX6NBoVAgQJ6U1MVXOaj8PK2l7WJ3RER9xtqwdhxkhw/edit?usp=sharing"",""จันทบุรี!J397"")"),467)</f>
        <v>467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IFERROR(__xludf.DUMMYFUNCTION("IMPORTRANGE(""https://docs.google.com/spreadsheets/d/1SX6NBoVAgQJ6U1MVXOaj8PK2l7WJ3RER9xtqwdhxkhw/edit?usp=sharing"",""จันทบุรี!I398"")"),0)</f>
        <v>0</v>
      </c>
      <c r="J503" s="198">
        <f ca="1">IFERROR(__xludf.DUMMYFUNCTION("IMPORTRANGE(""https://docs.google.com/spreadsheets/d/1SX6NBoVAgQJ6U1MVXOaj8PK2l7WJ3RER9xtqwdhxkhw/edit?usp=sharing"",""จันทบุรี!J398"")"),43)</f>
        <v>43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IFERROR(__xludf.DUMMYFUNCTION("IMPORTRANGE(""https://docs.google.com/spreadsheets/d/1SX6NBoVAgQJ6U1MVXOaj8PK2l7WJ3RER9xtqwdhxkhw/edit?usp=sharing"",""จันทบุรี!I399"")"),0)</f>
        <v>0</v>
      </c>
      <c r="J504" s="189">
        <f ca="1">IFERROR(__xludf.DUMMYFUNCTION("IMPORTRANGE(""https://docs.google.com/spreadsheets/d/1SX6NBoVAgQJ6U1MVXOaj8PK2l7WJ3RER9xtqwdhxkhw/edit?usp=sharing"",""จันทบุรี!J399"")"),0)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IFERROR(__xludf.DUMMYFUNCTION("IMPORTRANGE(""https://docs.google.com/spreadsheets/d/1SX6NBoVAgQJ6U1MVXOaj8PK2l7WJ3RER9xtqwdhxkhw/edit?usp=sharing"",""จันทบุรี!I400"")"),0)</f>
        <v>0</v>
      </c>
      <c r="J505" s="198">
        <f ca="1">IFERROR(__xludf.DUMMYFUNCTION("IMPORTRANGE(""https://docs.google.com/spreadsheets/d/1SX6NBoVAgQJ6U1MVXOaj8PK2l7WJ3RER9xtqwdhxkhw/edit?usp=sharing"",""จันทบุรี!J400"")"),0)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IFERROR(__xludf.DUMMYFUNCTION("IMPORTRANGE(""https://docs.google.com/spreadsheets/d/1SX6NBoVAgQJ6U1MVXOaj8PK2l7WJ3RER9xtqwdhxkhw/edit?usp=sharing"",""จันทบุรี!I401"")"),0)</f>
        <v>0</v>
      </c>
      <c r="J506" s="189">
        <f ca="1">IFERROR(__xludf.DUMMYFUNCTION("IMPORTRANGE(""https://docs.google.com/spreadsheets/d/1SX6NBoVAgQJ6U1MVXOaj8PK2l7WJ3RER9xtqwdhxkhw/edit?usp=sharing"",""จันทบุรี!J401"")"),0)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IFERROR(__xludf.DUMMYFUNCTION("IMPORTRANGE(""https://docs.google.com/spreadsheets/d/1SX6NBoVAgQJ6U1MVXOaj8PK2l7WJ3RER9xtqwdhxkhw/edit?usp=sharing"",""จันทบุรี!I402"")"),0)</f>
        <v>0</v>
      </c>
      <c r="J507" s="198">
        <f ca="1">IFERROR(__xludf.DUMMYFUNCTION("IMPORTRANGE(""https://docs.google.com/spreadsheets/d/1SX6NBoVAgQJ6U1MVXOaj8PK2l7WJ3RER9xtqwdhxkhw/edit?usp=sharing"",""จันทบุรี!J402"")"),0)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IFERROR(__xludf.DUMMYFUNCTION("IMPORTRANGE(""https://docs.google.com/spreadsheets/d/1SX6NBoVAgQJ6U1MVXOaj8PK2l7WJ3RER9xtqwdhxkhw/edit?usp=sharing"",""จันทบุรี!I403"")"),0)</f>
        <v>0</v>
      </c>
      <c r="J508" s="162">
        <f ca="1">IFERROR(__xludf.DUMMYFUNCTION("IMPORTRANGE(""https://docs.google.com/spreadsheets/d/1SX6NBoVAgQJ6U1MVXOaj8PK2l7WJ3RER9xtqwdhxkhw/edit?usp=sharing"",""จันทบุรี!J403"")"),30)</f>
        <v>30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IFERROR(__xludf.DUMMYFUNCTION("IMPORTRANGE(""https://docs.google.com/spreadsheets/d/1SX6NBoVAgQJ6U1MVXOaj8PK2l7WJ3RER9xtqwdhxkhw/edit?usp=sharing"",""จันทบุรี!I404"")"),0)</f>
        <v>0</v>
      </c>
      <c r="J509" s="162">
        <f ca="1">IFERROR(__xludf.DUMMYFUNCTION("IMPORTRANGE(""https://docs.google.com/spreadsheets/d/1SX6NBoVAgQJ6U1MVXOaj8PK2l7WJ3RER9xtqwdhxkhw/edit?usp=sharing"",""จันทบุรี!J404"")"),6)</f>
        <v>6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IFERROR(__xludf.DUMMYFUNCTION("IMPORTRANGE(""https://docs.google.com/spreadsheets/d/1SX6NBoVAgQJ6U1MVXOaj8PK2l7WJ3RER9xtqwdhxkhw/edit?usp=sharing"",""จันทบุรี!I405"")"),0)</f>
        <v>0</v>
      </c>
      <c r="J510" s="198">
        <f ca="1">IFERROR(__xludf.DUMMYFUNCTION("IMPORTRANGE(""https://docs.google.com/spreadsheets/d/1SX6NBoVAgQJ6U1MVXOaj8PK2l7WJ3RER9xtqwdhxkhw/edit?usp=sharing"",""จันทบุรี!J405"")"),30)</f>
        <v>30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IFERROR(__xludf.DUMMYFUNCTION("IMPORTRANGE(""https://docs.google.com/spreadsheets/d/1SX6NBoVAgQJ6U1MVXOaj8PK2l7WJ3RER9xtqwdhxkhw/edit?usp=sharing"",""จันทบุรี!I406"")"),0)</f>
        <v>0</v>
      </c>
      <c r="J511" s="198">
        <f ca="1">IFERROR(__xludf.DUMMYFUNCTION("IMPORTRANGE(""https://docs.google.com/spreadsheets/d/1SX6NBoVAgQJ6U1MVXOaj8PK2l7WJ3RER9xtqwdhxkhw/edit?usp=sharing"",""จันทบุรี!J406"")"),6)</f>
        <v>6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IFERROR(__xludf.DUMMYFUNCTION("IMPORTRANGE(""https://docs.google.com/spreadsheets/d/1SX6NBoVAgQJ6U1MVXOaj8PK2l7WJ3RER9xtqwdhxkhw/edit?usp=sharing"",""จันทบุรี!I407"")"),0)</f>
        <v>0</v>
      </c>
      <c r="J512" s="198">
        <f ca="1">IFERROR(__xludf.DUMMYFUNCTION("IMPORTRANGE(""https://docs.google.com/spreadsheets/d/1SX6NBoVAgQJ6U1MVXOaj8PK2l7WJ3RER9xtqwdhxkhw/edit?usp=sharing"",""จันทบุรี!J407"")"),0)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IFERROR(__xludf.DUMMYFUNCTION("IMPORTRANGE(""https://docs.google.com/spreadsheets/d/1SX6NBoVAgQJ6U1MVXOaj8PK2l7WJ3RER9xtqwdhxkhw/edit?usp=sharing"",""จันทบุรี!I408"")"),0)</f>
        <v>0</v>
      </c>
      <c r="J513" s="198">
        <f ca="1">IFERROR(__xludf.DUMMYFUNCTION("IMPORTRANGE(""https://docs.google.com/spreadsheets/d/1SX6NBoVAgQJ6U1MVXOaj8PK2l7WJ3RER9xtqwdhxkhw/edit?usp=sharing"",""จันทบุรี!J408"")"),0)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IFERROR(__xludf.DUMMYFUNCTION("IMPORTRANGE(""https://docs.google.com/spreadsheets/d/1SX6NBoVAgQJ6U1MVXOaj8PK2l7WJ3RER9xtqwdhxkhw/edit?usp=sharing"",""จันทบุรี!I409"")"),0)</f>
        <v>0</v>
      </c>
      <c r="J514" s="198">
        <f ca="1">IFERROR(__xludf.DUMMYFUNCTION("IMPORTRANGE(""https://docs.google.com/spreadsheets/d/1SX6NBoVAgQJ6U1MVXOaj8PK2l7WJ3RER9xtqwdhxkhw/edit?usp=sharing"",""จันทบุรี!J409"")"),0)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IFERROR(__xludf.DUMMYFUNCTION("IMPORTRANGE(""https://docs.google.com/spreadsheets/d/1SX6NBoVAgQJ6U1MVXOaj8PK2l7WJ3RER9xtqwdhxkhw/edit?usp=sharing"",""จันทบุรี!I410"")"),0)</f>
        <v>0</v>
      </c>
      <c r="J515" s="198">
        <f ca="1">IFERROR(__xludf.DUMMYFUNCTION("IMPORTRANGE(""https://docs.google.com/spreadsheets/d/1SX6NBoVAgQJ6U1MVXOaj8PK2l7WJ3RER9xtqwdhxkhw/edit?usp=sharing"",""จันทบุรี!J410"")"),0)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IFERROR(__xludf.DUMMYFUNCTION("IMPORTRANGE(""https://docs.google.com/spreadsheets/d/1SX6NBoVAgQJ6U1MVXOaj8PK2l7WJ3RER9xtqwdhxkhw/edit?usp=sharing"",""จันทบุรี!I411"")"),0)</f>
        <v>0</v>
      </c>
      <c r="J516" s="268">
        <f ca="1">IFERROR(__xludf.DUMMYFUNCTION("IMPORTRANGE(""https://docs.google.com/spreadsheets/d/1SX6NBoVAgQJ6U1MVXOaj8PK2l7WJ3RER9xtqwdhxkhw/edit?usp=sharing"",""จันทบุรี!J411"")"),0)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IFERROR(__xludf.DUMMYFUNCTION("IMPORTRANGE(""https://docs.google.com/spreadsheets/d/1SX6NBoVAgQJ6U1MVXOaj8PK2l7WJ3RER9xtqwdhxkhw/edit?usp=sharing"",""จันทบุรี!I412"")"),0)</f>
        <v>0</v>
      </c>
      <c r="J517" s="285">
        <f ca="1">IFERROR(__xludf.DUMMYFUNCTION("IMPORTRANGE(""https://docs.google.com/spreadsheets/d/1SX6NBoVAgQJ6U1MVXOaj8PK2l7WJ3RER9xtqwdhxkhw/edit?usp=sharing"",""จันทบุรี!J412"")"),0)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IFERROR(__xludf.DUMMYFUNCTION("IMPORTRANGE(""https://docs.google.com/spreadsheets/d/1SX6NBoVAgQJ6U1MVXOaj8PK2l7WJ3RER9xtqwdhxkhw/edit?usp=sharing"",""จันทบุรี!I413"")"),0)</f>
        <v>0</v>
      </c>
      <c r="J518" s="285">
        <f ca="1">IFERROR(__xludf.DUMMYFUNCTION("IMPORTRANGE(""https://docs.google.com/spreadsheets/d/1SX6NBoVAgQJ6U1MVXOaj8PK2l7WJ3RER9xtqwdhxkhw/edit?usp=sharing"",""จันทบุรี!J413"")"),0)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IFERROR(__xludf.DUMMYFUNCTION("IMPORTRANGE(""https://docs.google.com/spreadsheets/d/1SX6NBoVAgQJ6U1MVXOaj8PK2l7WJ3RER9xtqwdhxkhw/edit?usp=sharing"",""จันทบุรี!I414"")"),0)</f>
        <v>0</v>
      </c>
      <c r="J519" s="188">
        <f ca="1">IFERROR(__xludf.DUMMYFUNCTION("IMPORTRANGE(""https://docs.google.com/spreadsheets/d/1SX6NBoVAgQJ6U1MVXOaj8PK2l7WJ3RER9xtqwdhxkhw/edit?usp=sharing"",""จันทบุรี!J414"")"),0)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IFERROR(__xludf.DUMMYFUNCTION("IMPORTRANGE(""https://docs.google.com/spreadsheets/d/1SX6NBoVAgQJ6U1MVXOaj8PK2l7WJ3RER9xtqwdhxkhw/edit?usp=sharing"",""จันทบุรี!I415"")"),0)</f>
        <v>0</v>
      </c>
      <c r="J520" s="188">
        <f ca="1">IFERROR(__xludf.DUMMYFUNCTION("IMPORTRANGE(""https://docs.google.com/spreadsheets/d/1SX6NBoVAgQJ6U1MVXOaj8PK2l7WJ3RER9xtqwdhxkhw/edit?usp=sharing"",""จันทบุรี!J415"")"),0)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IFERROR(__xludf.DUMMYFUNCTION("IMPORTRANGE(""https://docs.google.com/spreadsheets/d/1SX6NBoVAgQJ6U1MVXOaj8PK2l7WJ3RER9xtqwdhxkhw/edit?usp=sharing"",""จันทบุรี!I416"")"),0)</f>
        <v>0</v>
      </c>
      <c r="J521" s="188">
        <f ca="1">IFERROR(__xludf.DUMMYFUNCTION("IMPORTRANGE(""https://docs.google.com/spreadsheets/d/1SX6NBoVAgQJ6U1MVXOaj8PK2l7WJ3RER9xtqwdhxkhw/edit?usp=sharing"",""จันทบุรี!J416"")"),0)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IFERROR(__xludf.DUMMYFUNCTION("IMPORTRANGE(""https://docs.google.com/spreadsheets/d/1SX6NBoVAgQJ6U1MVXOaj8PK2l7WJ3RER9xtqwdhxkhw/edit?usp=sharing"",""จันทบุรี!I417"")"),0)</f>
        <v>0</v>
      </c>
      <c r="J522" s="188">
        <f ca="1">IFERROR(__xludf.DUMMYFUNCTION("IMPORTRANGE(""https://docs.google.com/spreadsheets/d/1SX6NBoVAgQJ6U1MVXOaj8PK2l7WJ3RER9xtqwdhxkhw/edit?usp=sharing"",""จันทบุรี!J417"")"),0)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IFERROR(__xludf.DUMMYFUNCTION("IMPORTRANGE(""https://docs.google.com/spreadsheets/d/1SX6NBoVAgQJ6U1MVXOaj8PK2l7WJ3RER9xtqwdhxkhw/edit?usp=sharing"",""จันทบุรี!I418"")"),0)</f>
        <v>0</v>
      </c>
      <c r="J523" s="188">
        <f ca="1">IFERROR(__xludf.DUMMYFUNCTION("IMPORTRANGE(""https://docs.google.com/spreadsheets/d/1SX6NBoVAgQJ6U1MVXOaj8PK2l7WJ3RER9xtqwdhxkhw/edit?usp=sharing"",""จันทบุรี!J418"")"),0)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IFERROR(__xludf.DUMMYFUNCTION("IMPORTRANGE(""https://docs.google.com/spreadsheets/d/1SX6NBoVAgQJ6U1MVXOaj8PK2l7WJ3RER9xtqwdhxkhw/edit?usp=sharing"",""จันทบุรี!I419"")"),0)</f>
        <v>0</v>
      </c>
      <c r="J524" s="188">
        <f ca="1">IFERROR(__xludf.DUMMYFUNCTION("IMPORTRANGE(""https://docs.google.com/spreadsheets/d/1SX6NBoVAgQJ6U1MVXOaj8PK2l7WJ3RER9xtqwdhxkhw/edit?usp=sharing"",""จันทบุรี!J419"")"),0)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IFERROR(__xludf.DUMMYFUNCTION("IMPORTRANGE(""https://docs.google.com/spreadsheets/d/1SX6NBoVAgQJ6U1MVXOaj8PK2l7WJ3RER9xtqwdhxkhw/edit?usp=sharing"",""จันทบุรี!I420"")"),0)</f>
        <v>0</v>
      </c>
      <c r="J525" s="285">
        <f ca="1">IFERROR(__xludf.DUMMYFUNCTION("IMPORTRANGE(""https://docs.google.com/spreadsheets/d/1SX6NBoVAgQJ6U1MVXOaj8PK2l7WJ3RER9xtqwdhxkhw/edit?usp=sharing"",""จันทบุรี!J420"")"),0)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IFERROR(__xludf.DUMMYFUNCTION("IMPORTRANGE(""https://docs.google.com/spreadsheets/d/1SX6NBoVAgQJ6U1MVXOaj8PK2l7WJ3RER9xtqwdhxkhw/edit?usp=sharing"",""จันทบุรี!I421"")"),0)</f>
        <v>0</v>
      </c>
      <c r="J526" s="285">
        <f ca="1">IFERROR(__xludf.DUMMYFUNCTION("IMPORTRANGE(""https://docs.google.com/spreadsheets/d/1SX6NBoVAgQJ6U1MVXOaj8PK2l7WJ3RER9xtqwdhxkhw/edit?usp=sharing"",""จันทบุรี!J421"")"),0)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IFERROR(__xludf.DUMMYFUNCTION("IMPORTRANGE(""https://docs.google.com/spreadsheets/d/1SX6NBoVAgQJ6U1MVXOaj8PK2l7WJ3RER9xtqwdhxkhw/edit?usp=sharing"",""จันทบุรี!I422"")"),0)</f>
        <v>0</v>
      </c>
      <c r="J527" s="198">
        <f ca="1">IFERROR(__xludf.DUMMYFUNCTION("IMPORTRANGE(""https://docs.google.com/spreadsheets/d/1SX6NBoVAgQJ6U1MVXOaj8PK2l7WJ3RER9xtqwdhxkhw/edit?usp=sharing"",""จันทบุรี!J422"")"),0)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IFERROR(__xludf.DUMMYFUNCTION("IMPORTRANGE(""https://docs.google.com/spreadsheets/d/1SX6NBoVAgQJ6U1MVXOaj8PK2l7WJ3RER9xtqwdhxkhw/edit?usp=sharing"",""จันทบุรี!I423"")"),0)</f>
        <v>0</v>
      </c>
      <c r="J528" s="198">
        <f ca="1">IFERROR(__xludf.DUMMYFUNCTION("IMPORTRANGE(""https://docs.google.com/spreadsheets/d/1SX6NBoVAgQJ6U1MVXOaj8PK2l7WJ3RER9xtqwdhxkhw/edit?usp=sharing"",""จันทบุรี!J423"")"),0)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IFERROR(__xludf.DUMMYFUNCTION("IMPORTRANGE(""https://docs.google.com/spreadsheets/d/1SX6NBoVAgQJ6U1MVXOaj8PK2l7WJ3RER9xtqwdhxkhw/edit?usp=sharing"",""จันทบุรี!I424"")"),0)</f>
        <v>0</v>
      </c>
      <c r="J529" s="198">
        <f ca="1">IFERROR(__xludf.DUMMYFUNCTION("IMPORTRANGE(""https://docs.google.com/spreadsheets/d/1SX6NBoVAgQJ6U1MVXOaj8PK2l7WJ3RER9xtqwdhxkhw/edit?usp=sharing"",""จันทบุรี!J424"")"),0)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IFERROR(__xludf.DUMMYFUNCTION("IMPORTRANGE(""https://docs.google.com/spreadsheets/d/1SX6NBoVAgQJ6U1MVXOaj8PK2l7WJ3RER9xtqwdhxkhw/edit?usp=sharing"",""จันทบุรี!I425"")"),0)</f>
        <v>0</v>
      </c>
      <c r="J530" s="198">
        <f ca="1">IFERROR(__xludf.DUMMYFUNCTION("IMPORTRANGE(""https://docs.google.com/spreadsheets/d/1SX6NBoVAgQJ6U1MVXOaj8PK2l7WJ3RER9xtqwdhxkhw/edit?usp=sharing"",""จันทบุรี!J425"")"),0)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IFERROR(__xludf.DUMMYFUNCTION("IMPORTRANGE(""https://docs.google.com/spreadsheets/d/1SX6NBoVAgQJ6U1MVXOaj8PK2l7WJ3RER9xtqwdhxkhw/edit?usp=sharing"",""จันทบุรี!I426"")"),0)</f>
        <v>0</v>
      </c>
      <c r="J531" s="198">
        <f ca="1">IFERROR(__xludf.DUMMYFUNCTION("IMPORTRANGE(""https://docs.google.com/spreadsheets/d/1SX6NBoVAgQJ6U1MVXOaj8PK2l7WJ3RER9xtqwdhxkhw/edit?usp=sharing"",""จันทบุรี!J426"")"),0)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IFERROR(__xludf.DUMMYFUNCTION("IMPORTRANGE(""https://docs.google.com/spreadsheets/d/1SX6NBoVAgQJ6U1MVXOaj8PK2l7WJ3RER9xtqwdhxkhw/edit?usp=sharing"",""จันทบุรี!M428"")"),22816)</f>
        <v>22816</v>
      </c>
      <c r="O533" s="412">
        <f t="shared" ref="O533:O537" ca="1" si="118">+IF(L533&gt;0,N533*100/L533,0)</f>
        <v>66.441467676179386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IFERROR(__xludf.DUMMYFUNCTION("IMPORTRANGE(""https://docs.google.com/spreadsheets/d/1SX6NBoVAgQJ6U1MVXOaj8PK2l7WJ3RER9xtqwdhxkhw/edit?usp=sharing"",""จันทบุรี!L429"")"),0)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IFERROR(__xludf.DUMMYFUNCTION("IMPORTRANGE(""https://docs.google.com/spreadsheets/d/1SX6NBoVAgQJ6U1MVXOaj8PK2l7WJ3RER9xtqwdhxkhw/edit?usp=sharing"",""จันทบุรี!M429"")"),0)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IFERROR(__xludf.DUMMYFUNCTION("IMPORTRANGE(""https://docs.google.com/spreadsheets/d/1SX6NBoVAgQJ6U1MVXOaj8PK2l7WJ3RER9xtqwdhxkhw/edit?usp=sharing"",""จันทบุรี!L430"")"),34340)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IFERROR(__xludf.DUMMYFUNCTION("IMPORTRANGE(""https://docs.google.com/spreadsheets/d/1SX6NBoVAgQJ6U1MVXOaj8PK2l7WJ3RER9xtqwdhxkhw/edit?usp=sharing"",""จันทบุรี!M430"")"),22816)</f>
        <v>22816</v>
      </c>
      <c r="O535" s="169">
        <f t="shared" ca="1" si="118"/>
        <v>66.441467676179386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IFERROR(__xludf.DUMMYFUNCTION("IMPORTRANGE(""https://docs.google.com/spreadsheets/d/1SX6NBoVAgQJ6U1MVXOaj8PK2l7WJ3RER9xtqwdhxkhw/edit?usp=sharing"",""จันทบุรี!L431"")"),0)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IFERROR(__xludf.DUMMYFUNCTION("IMPORTRANGE(""https://docs.google.com/spreadsheets/d/1SX6NBoVAgQJ6U1MVXOaj8PK2l7WJ3RER9xtqwdhxkhw/edit?usp=sharing"",""จันทบุรี!M431"")"),0)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IFERROR(__xludf.DUMMYFUNCTION("IMPORTRANGE(""https://docs.google.com/spreadsheets/d/1SX6NBoVAgQJ6U1MVXOaj8PK2l7WJ3RER9xtqwdhxkhw/edit?usp=sharing"",""จันทบุรี!L432"")"),34340)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IFERROR(__xludf.DUMMYFUNCTION("IMPORTRANGE(""https://docs.google.com/spreadsheets/d/1SX6NBoVAgQJ6U1MVXOaj8PK2l7WJ3RER9xtqwdhxkhw/edit?usp=sharing"",""จันทบุรี!M432"")"),22816)</f>
        <v>22816</v>
      </c>
      <c r="O537" s="169">
        <f t="shared" ca="1" si="118"/>
        <v>66.441467676179386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IFERROR(__xludf.DUMMYFUNCTION("IMPORTRANGE(""https://docs.google.com/spreadsheets/d/1SX6NBoVAgQJ6U1MVXOaj8PK2l7WJ3RER9xtqwdhxkhw/edit?usp=sharing"",""จันทบุรี!M433"")"),14440)</f>
        <v>14440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IFERROR(__xludf.DUMMYFUNCTION("IMPORTRANGE(""https://docs.google.com/spreadsheets/d/1SX6NBoVAgQJ6U1MVXOaj8PK2l7WJ3RER9xtqwdhxkhw/edit?usp=sharing"",""จันทบุรี!M436"")"),8376)</f>
        <v>8376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IFERROR(__xludf.DUMMYFUNCTION("IMPORTRANGE(""https://docs.google.com/spreadsheets/d/1SX6NBoVAgQJ6U1MVXOaj8PK2l7WJ3RER9xtqwdhxkhw/edit?usp=sharing"",""จันทบุรี!J438"")"),0)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IFERROR(__xludf.DUMMYFUNCTION("IMPORTRANGE(""https://docs.google.com/spreadsheets/d/1SX6NBoVAgQJ6U1MVXOaj8PK2l7WJ3RER9xtqwdhxkhw/edit?usp=sharing"",""จันทบุรี!J439"")"),1)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IFERROR(__xludf.DUMMYFUNCTION("IMPORTRANGE(""https://docs.google.com/spreadsheets/d/1SX6NBoVAgQJ6U1MVXOaj8PK2l7WJ3RER9xtqwdhxkhw/edit?usp=sharing"",""จันทบุรี!J440"")"),1)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IFERROR(__xludf.DUMMYFUNCTION("IMPORTRANGE(""https://docs.google.com/spreadsheets/d/1SX6NBoVAgQJ6U1MVXOaj8PK2l7WJ3RER9xtqwdhxkhw/edit?usp=sharing"",""จันทบุรี!J441"")"),1)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IFERROR(__xludf.DUMMYFUNCTION("IMPORTRANGE(""https://docs.google.com/spreadsheets/d/1SX6NBoVAgQJ6U1MVXOaj8PK2l7WJ3RER9xtqwdhxkhw/edit?usp=sharing"",""จันทบุรี!I442"")"),22)</f>
        <v>22</v>
      </c>
      <c r="J547" s="189">
        <f ca="1">IFERROR(__xludf.DUMMYFUNCTION("IMPORTRANGE(""https://docs.google.com/spreadsheets/d/1SX6NBoVAgQJ6U1MVXOaj8PK2l7WJ3RER9xtqwdhxkhw/edit?usp=sharing"",""จันทบุรี!J442"")"),22)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IFERROR(__xludf.DUMMYFUNCTION("IMPORTRANGE(""https://docs.google.com/spreadsheets/d/1SX6NBoVAgQJ6U1MVXOaj8PK2l7WJ3RER9xtqwdhxkhw/edit?usp=sharing"",""จันทบุรี!J166"")"),0)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IFERROR(__xludf.DUMMYFUNCTION("IMPORTRANGE(""https://docs.google.com/spreadsheets/d/1SX6NBoVAgQJ6U1MVXOaj8PK2l7WJ3RER9xtqwdhxkhw/edit?usp=sharing"",""จันทบุรี!J444"")"),0)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IFERROR(__xludf.DUMMYFUNCTION("IMPORTRANGE(""https://docs.google.com/spreadsheets/d/1SX6NBoVAgQJ6U1MVXOaj8PK2l7WJ3RER9xtqwdhxkhw/edit?usp=sharing"",""จันทบุรี!L447"")"),0)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IFERROR(__xludf.DUMMYFUNCTION("IMPORTRANGE(""https://docs.google.com/spreadsheets/d/1SX6NBoVAgQJ6U1MVXOaj8PK2l7WJ3RER9xtqwdhxkhw/edit?usp=sharing"",""จันทบุรี!M447"")"),0)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IFERROR(__xludf.DUMMYFUNCTION("IMPORTRANGE(""https://docs.google.com/spreadsheets/d/1SX6NBoVAgQJ6U1MVXOaj8PK2l7WJ3RER9xtqwdhxkhw/edit?usp=sharing"",""จันทบุรี!L448"")"),0)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IFERROR(__xludf.DUMMYFUNCTION("IMPORTRANGE(""https://docs.google.com/spreadsheets/d/1SX6NBoVAgQJ6U1MVXOaj8PK2l7WJ3RER9xtqwdhxkhw/edit?usp=sharing"",""จันทบุรี!M448"")"),0)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IFERROR(__xludf.DUMMYFUNCTION("IMPORTRANGE(""https://docs.google.com/spreadsheets/d/1SX6NBoVAgQJ6U1MVXOaj8PK2l7WJ3RER9xtqwdhxkhw/edit?usp=sharing"",""จันทบุรี!L449"")"),0)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IFERROR(__xludf.DUMMYFUNCTION("IMPORTRANGE(""https://docs.google.com/spreadsheets/d/1SX6NBoVAgQJ6U1MVXOaj8PK2l7WJ3RER9xtqwdhxkhw/edit?usp=sharing"",""จันทบุรี!M449"")"),0)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IFERROR(__xludf.DUMMYFUNCTION("IMPORTRANGE(""https://docs.google.com/spreadsheets/d/1SX6NBoVAgQJ6U1MVXOaj8PK2l7WJ3RER9xtqwdhxkhw/edit?usp=sharing"",""จันทบุรี!L450"")"),0)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IFERROR(__xludf.DUMMYFUNCTION("IMPORTRANGE(""https://docs.google.com/spreadsheets/d/1SX6NBoVAgQJ6U1MVXOaj8PK2l7WJ3RER9xtqwdhxkhw/edit?usp=sharing"",""จันทบุรี!M450"")"),0)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IFERROR(__xludf.DUMMYFUNCTION("IMPORTRANGE(""https://docs.google.com/spreadsheets/d/1SX6NBoVAgQJ6U1MVXOaj8PK2l7WJ3RER9xtqwdhxkhw/edit?usp=sharing"",""จันทบุรี!M451"")"),0)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IFERROR(__xludf.DUMMYFUNCTION("IMPORTRANGE(""https://docs.google.com/spreadsheets/d/1SX6NBoVAgQJ6U1MVXOaj8PK2l7WJ3RER9xtqwdhxkhw/edit?usp=sharing"",""จันทบุรี!M452"")"),0)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IFERROR(__xludf.DUMMYFUNCTION("IMPORTRANGE(""https://docs.google.com/spreadsheets/d/1SX6NBoVAgQJ6U1MVXOaj8PK2l7WJ3RER9xtqwdhxkhw/edit?usp=sharing"",""จันทบุรี!M453"")"),0)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IFERROR(__xludf.DUMMYFUNCTION("IMPORTRANGE(""https://docs.google.com/spreadsheets/d/1SX6NBoVAgQJ6U1MVXOaj8PK2l7WJ3RER9xtqwdhxkhw/edit?usp=sharing"",""จันทบุรี!M454"")"),0)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IFERROR(__xludf.DUMMYFUNCTION("IMPORTRANGE(""https://docs.google.com/spreadsheets/d/1SX6NBoVAgQJ6U1MVXOaj8PK2l7WJ3RER9xtqwdhxkhw/edit?usp=sharing"",""จันทบุรี!I455"")"),0)</f>
        <v>0</v>
      </c>
      <c r="J560" s="162">
        <f ca="1">IFERROR(__xludf.DUMMYFUNCTION("IMPORTRANGE(""https://docs.google.com/spreadsheets/d/1SX6NBoVAgQJ6U1MVXOaj8PK2l7WJ3RER9xtqwdhxkhw/edit?usp=sharing"",""จันทบุรี!J455"")"),0)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IFERROR(__xludf.DUMMYFUNCTION("IMPORTRANGE(""https://docs.google.com/spreadsheets/d/1SX6NBoVAgQJ6U1MVXOaj8PK2l7WJ3RER9xtqwdhxkhw/edit?usp=sharing"",""จันทบุรี!I456"")"),0)</f>
        <v>0</v>
      </c>
      <c r="J561" s="204">
        <f ca="1">IFERROR(__xludf.DUMMYFUNCTION("IMPORTRANGE(""https://docs.google.com/spreadsheets/d/1SX6NBoVAgQJ6U1MVXOaj8PK2l7WJ3RER9xtqwdhxkhw/edit?usp=sharing"",""จันทบุรี!J456"")"),0)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IFERROR(__xludf.DUMMYFUNCTION("IMPORTRANGE(""https://docs.google.com/spreadsheets/d/1SX6NBoVAgQJ6U1MVXOaj8PK2l7WJ3RER9xtqwdhxkhw/edit?usp=sharing"",""จันทบุรี!J459"")"),1580)</f>
        <v>1580</v>
      </c>
      <c r="K564" s="372">
        <f ca="1">IF(I564&gt;0,J564*100/I564,0)</f>
        <v>225.71428571428572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IFERROR(__xludf.DUMMYFUNCTION("IMPORTRANGE(""https://docs.google.com/spreadsheets/d/1SX6NBoVAgQJ6U1MVXOaj8PK2l7WJ3RER9xtqwdhxkhw/edit?usp=sharing"",""จันทบุรี!M459"")"),57098)</f>
        <v>57098</v>
      </c>
      <c r="O564" s="373">
        <f t="shared" ref="O564:O568" ca="1" si="122">+IF(L564&gt;0,N564*100/L564,0)</f>
        <v>45.287119289340104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IFERROR(__xludf.DUMMYFUNCTION("IMPORTRANGE(""https://docs.google.com/spreadsheets/d/1SX6NBoVAgQJ6U1MVXOaj8PK2l7WJ3RER9xtqwdhxkhw/edit?usp=sharing"",""จันทบุรี!L460"")"),0)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IFERROR(__xludf.DUMMYFUNCTION("IMPORTRANGE(""https://docs.google.com/spreadsheets/d/1SX6NBoVAgQJ6U1MVXOaj8PK2l7WJ3RER9xtqwdhxkhw/edit?usp=sharing"",""จันทบุรี!M460"")"),0)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IFERROR(__xludf.DUMMYFUNCTION("IMPORTRANGE(""https://docs.google.com/spreadsheets/d/1SX6NBoVAgQJ6U1MVXOaj8PK2l7WJ3RER9xtqwdhxkhw/edit?usp=sharing"",""จันทบุรี!L461"")"),126080)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IFERROR(__xludf.DUMMYFUNCTION("IMPORTRANGE(""https://docs.google.com/spreadsheets/d/1SX6NBoVAgQJ6U1MVXOaj8PK2l7WJ3RER9xtqwdhxkhw/edit?usp=sharing"",""จันทบุรี!M461"")"),57098)</f>
        <v>57098</v>
      </c>
      <c r="O566" s="169">
        <f t="shared" ca="1" si="122"/>
        <v>45.287119289340104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IFERROR(__xludf.DUMMYFUNCTION("IMPORTRANGE(""https://docs.google.com/spreadsheets/d/1SX6NBoVAgQJ6U1MVXOaj8PK2l7WJ3RER9xtqwdhxkhw/edit?usp=sharing"",""จันทบุรี!L462"")"),0)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IFERROR(__xludf.DUMMYFUNCTION("IMPORTRANGE(""https://docs.google.com/spreadsheets/d/1SX6NBoVAgQJ6U1MVXOaj8PK2l7WJ3RER9xtqwdhxkhw/edit?usp=sharing"",""จันทบุรี!M462"")"),0)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IFERROR(__xludf.DUMMYFUNCTION("IMPORTRANGE(""https://docs.google.com/spreadsheets/d/1SX6NBoVAgQJ6U1MVXOaj8PK2l7WJ3RER9xtqwdhxkhw/edit?usp=sharing"",""จันทบุรี!L463"")"),126080)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IFERROR(__xludf.DUMMYFUNCTION("IMPORTRANGE(""https://docs.google.com/spreadsheets/d/1SX6NBoVAgQJ6U1MVXOaj8PK2l7WJ3RER9xtqwdhxkhw/edit?usp=sharing"",""จันทบุรี!M463"")"),57098)</f>
        <v>57098</v>
      </c>
      <c r="O568" s="169">
        <f t="shared" ca="1" si="122"/>
        <v>45.287119289340104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IFERROR(__xludf.DUMMYFUNCTION("IMPORTRANGE(""https://docs.google.com/spreadsheets/d/1SX6NBoVAgQJ6U1MVXOaj8PK2l7WJ3RER9xtqwdhxkhw/edit?usp=sharing"",""จันทบุรี!M464"")"),0)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IFERROR(__xludf.DUMMYFUNCTION("IMPORTRANGE(""https://docs.google.com/spreadsheets/d/1SX6NBoVAgQJ6U1MVXOaj8PK2l7WJ3RER9xtqwdhxkhw/edit?usp=sharing"",""จันทบุรี!M465"")"),0)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IFERROR(__xludf.DUMMYFUNCTION("IMPORTRANGE(""https://docs.google.com/spreadsheets/d/1SX6NBoVAgQJ6U1MVXOaj8PK2l7WJ3RER9xtqwdhxkhw/edit?usp=sharing"",""จันทบุรี!M466"")"),41798)</f>
        <v>41798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IFERROR(__xludf.DUMMYFUNCTION("IMPORTRANGE(""https://docs.google.com/spreadsheets/d/1SX6NBoVAgQJ6U1MVXOaj8PK2l7WJ3RER9xtqwdhxkhw/edit?usp=sharing"",""จันทบุรี!M467"")"),15300)</f>
        <v>15300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IFERROR(__xludf.DUMMYFUNCTION("IMPORTRANGE(""https://docs.google.com/spreadsheets/d/1SX6NBoVAgQJ6U1MVXOaj8PK2l7WJ3RER9xtqwdhxkhw/edit?usp=sharing"",""จันทบุรี!J468"")"),1580)</f>
        <v>1580</v>
      </c>
      <c r="K573" s="202">
        <f ca="1">IF(I573&gt;0,J573*100/I573,0)</f>
        <v>225.71428571428572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IFERROR(__xludf.DUMMYFUNCTION("IMPORTRANGE(""https://docs.google.com/spreadsheets/d/1SX6NBoVAgQJ6U1MVXOaj8PK2l7WJ3RER9xtqwdhxkhw/edit?usp=sharing"",""จันทบุรี!I470"")"),0)</f>
        <v>0</v>
      </c>
      <c r="J575" s="198">
        <f ca="1">IFERROR(__xludf.DUMMYFUNCTION("IMPORTRANGE(""https://docs.google.com/spreadsheets/d/1SX6NBoVAgQJ6U1MVXOaj8PK2l7WJ3RER9xtqwdhxkhw/edit?usp=sharing"",""จันทบุรี!J470"")"),6)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IFERROR(__xludf.DUMMYFUNCTION("IMPORTRANGE(""https://docs.google.com/spreadsheets/d/1SX6NBoVAgQJ6U1MVXOaj8PK2l7WJ3RER9xtqwdhxkhw/edit?usp=sharing"",""จันทบุรี!I471"")"),0)</f>
        <v>0</v>
      </c>
      <c r="J576" s="198">
        <f ca="1">IFERROR(__xludf.DUMMYFUNCTION("IMPORTRANGE(""https://docs.google.com/spreadsheets/d/1SX6NBoVAgQJ6U1MVXOaj8PK2l7WJ3RER9xtqwdhxkhw/edit?usp=sharing"",""จันทบุรี!J471"")"),131)</f>
        <v>131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IFERROR(__xludf.DUMMYFUNCTION("IMPORTRANGE(""https://docs.google.com/spreadsheets/d/1SX6NBoVAgQJ6U1MVXOaj8PK2l7WJ3RER9xtqwdhxkhw/edit?usp=sharing"",""จันทบุรี!I472"")"),0)</f>
        <v>0</v>
      </c>
      <c r="J577" s="189">
        <f ca="1">IFERROR(__xludf.DUMMYFUNCTION("IMPORTRANGE(""https://docs.google.com/spreadsheets/d/1SX6NBoVAgQJ6U1MVXOaj8PK2l7WJ3RER9xtqwdhxkhw/edit?usp=sharing"",""จันทบุรี!J472"")"),1438)</f>
        <v>1438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IFERROR(__xludf.DUMMYFUNCTION("IMPORTRANGE(""https://docs.google.com/spreadsheets/d/1SX6NBoVAgQJ6U1MVXOaj8PK2l7WJ3RER9xtqwdhxkhw/edit?usp=sharing"",""จันทบุรี!I473"")"),0)</f>
        <v>0</v>
      </c>
      <c r="J578" s="198">
        <f ca="1">IFERROR(__xludf.DUMMYFUNCTION("IMPORTRANGE(""https://docs.google.com/spreadsheets/d/1SX6NBoVAgQJ6U1MVXOaj8PK2l7WJ3RER9xtqwdhxkhw/edit?usp=sharing"",""จันทบุรี!J473"")"),3)</f>
        <v>3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IFERROR(__xludf.DUMMYFUNCTION("IMPORTRANGE(""https://docs.google.com/spreadsheets/d/1SX6NBoVAgQJ6U1MVXOaj8PK2l7WJ3RER9xtqwdhxkhw/edit?usp=sharing"",""จันทบุรี!I474"")"),0)</f>
        <v>0</v>
      </c>
      <c r="J579" s="198">
        <f ca="1">IFERROR(__xludf.DUMMYFUNCTION("IMPORTRANGE(""https://docs.google.com/spreadsheets/d/1SX6NBoVAgQJ6U1MVXOaj8PK2l7WJ3RER9xtqwdhxkhw/edit?usp=sharing"",""จันทบุรี!J474"")"),8)</f>
        <v>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IFERROR(__xludf.DUMMYFUNCTION("IMPORTRANGE(""https://docs.google.com/spreadsheets/d/1SX6NBoVAgQJ6U1MVXOaj8PK2l7WJ3RER9xtqwdhxkhw/edit?usp=sharing"",""จันทบุรี!L476"")"),0)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IFERROR(__xludf.DUMMYFUNCTION("IMPORTRANGE(""https://docs.google.com/spreadsheets/d/1SX6NBoVAgQJ6U1MVXOaj8PK2l7WJ3RER9xtqwdhxkhw/edit?usp=sharing"",""จันทบุรี!M476"")"),0)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IFERROR(__xludf.DUMMYFUNCTION("IMPORTRANGE(""https://docs.google.com/spreadsheets/d/1SX6NBoVAgQJ6U1MVXOaj8PK2l7WJ3RER9xtqwdhxkhw/edit?usp=sharing"",""จันทบุรี!L477"")"),0)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IFERROR(__xludf.DUMMYFUNCTION("IMPORTRANGE(""https://docs.google.com/spreadsheets/d/1SX6NBoVAgQJ6U1MVXOaj8PK2l7WJ3RER9xtqwdhxkhw/edit?usp=sharing"",""จันทบุรี!M477"")"),0)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IFERROR(__xludf.DUMMYFUNCTION("IMPORTRANGE(""https://docs.google.com/spreadsheets/d/1SX6NBoVAgQJ6U1MVXOaj8PK2l7WJ3RER9xtqwdhxkhw/edit?usp=sharing"",""จันทบุรี!L478"")"),0)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IFERROR(__xludf.DUMMYFUNCTION("IMPORTRANGE(""https://docs.google.com/spreadsheets/d/1SX6NBoVAgQJ6U1MVXOaj8PK2l7WJ3RER9xtqwdhxkhw/edit?usp=sharing"",""จันทบุรี!M478"")"),0)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IFERROR(__xludf.DUMMYFUNCTION("IMPORTRANGE(""https://docs.google.com/spreadsheets/d/1SX6NBoVAgQJ6U1MVXOaj8PK2l7WJ3RER9xtqwdhxkhw/edit?usp=sharing"",""จันทบุรี!L479"")"),0)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IFERROR(__xludf.DUMMYFUNCTION("IMPORTRANGE(""https://docs.google.com/spreadsheets/d/1SX6NBoVAgQJ6U1MVXOaj8PK2l7WJ3RER9xtqwdhxkhw/edit?usp=sharing"",""จันทบุรี!M479"")"),0)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IFERROR(__xludf.DUMMYFUNCTION("IMPORTRANGE(""https://docs.google.com/spreadsheets/d/1SX6NBoVAgQJ6U1MVXOaj8PK2l7WJ3RER9xtqwdhxkhw/edit?usp=sharing"",""จันทบุรี!M480"")"),0)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IFERROR(__xludf.DUMMYFUNCTION("IMPORTRANGE(""https://docs.google.com/spreadsheets/d/1SX6NBoVAgQJ6U1MVXOaj8PK2l7WJ3RER9xtqwdhxkhw/edit?usp=sharing"",""จันทบุรี!M481"")"),0)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IFERROR(__xludf.DUMMYFUNCTION("IMPORTRANGE(""https://docs.google.com/spreadsheets/d/1SX6NBoVAgQJ6U1MVXOaj8PK2l7WJ3RER9xtqwdhxkhw/edit?usp=sharing"",""จันทบุรี!M482"")"),0)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IFERROR(__xludf.DUMMYFUNCTION("IMPORTRANGE(""https://docs.google.com/spreadsheets/d/1SX6NBoVAgQJ6U1MVXOaj8PK2l7WJ3RER9xtqwdhxkhw/edit?usp=sharing"",""จันทบุรี!M483"")"),0)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IFERROR(__xludf.DUMMYFUNCTION("IMPORTRANGE(""https://docs.google.com/spreadsheets/d/1SX6NBoVAgQJ6U1MVXOaj8PK2l7WJ3RER9xtqwdhxkhw/edit?usp=sharing"",""จันทบุรี!I484"")"),0)</f>
        <v>0</v>
      </c>
      <c r="J589" s="188">
        <f ca="1">IFERROR(__xludf.DUMMYFUNCTION("IMPORTRANGE(""https://docs.google.com/spreadsheets/d/1SX6NBoVAgQJ6U1MVXOaj8PK2l7WJ3RER9xtqwdhxkhw/edit?usp=sharing"",""จันทบุรี!J484"")"),0)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8">
        <f ca="1">IFERROR(__xludf.DUMMYFUNCTION("IMPORTRANGE(""https://docs.google.com/spreadsheets/d/1SX6NBoVAgQJ6U1MVXOaj8PK2l7WJ3RER9xtqwdhxkhw/edit?usp=sharing"",""จันทบุรี!J485"")"),0)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IFERROR(__xludf.DUMMYFUNCTION("IMPORTRANGE(""https://docs.google.com/spreadsheets/d/1SX6NBoVAgQJ6U1MVXOaj8PK2l7WJ3RER9xtqwdhxkhw/edit?usp=sharing"",""จันทบุรี!I486"")"),0)</f>
        <v>0</v>
      </c>
      <c r="J591" s="188">
        <f ca="1">IFERROR(__xludf.DUMMYFUNCTION("IMPORTRANGE(""https://docs.google.com/spreadsheets/d/1SX6NBoVAgQJ6U1MVXOaj8PK2l7WJ3RER9xtqwdhxkhw/edit?usp=sharing"",""จันทบุรี!J486"")"),0)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8">
        <f ca="1">IFERROR(__xludf.DUMMYFUNCTION("IMPORTRANGE(""https://docs.google.com/spreadsheets/d/1SX6NBoVAgQJ6U1MVXOaj8PK2l7WJ3RER9xtqwdhxkhw/edit?usp=sharing"",""จันทบุรี!J487"")"),0)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IFERROR(__xludf.DUMMYFUNCTION("IMPORTRANGE(""https://docs.google.com/spreadsheets/d/1SX6NBoVAgQJ6U1MVXOaj8PK2l7WJ3RER9xtqwdhxkhw/edit?usp=sharing"",""จันทบุรี!I488"")"),0)</f>
        <v>0</v>
      </c>
      <c r="J593" s="188">
        <f ca="1">IFERROR(__xludf.DUMMYFUNCTION("IMPORTRANGE(""https://docs.google.com/spreadsheets/d/1SX6NBoVAgQJ6U1MVXOaj8PK2l7WJ3RER9xtqwdhxkhw/edit?usp=sharing"",""จันทบุรี!J488"")"),0)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8">
        <f ca="1">IFERROR(__xludf.DUMMYFUNCTION("IMPORTRANGE(""https://docs.google.com/spreadsheets/d/1SX6NBoVAgQJ6U1MVXOaj8PK2l7WJ3RER9xtqwdhxkhw/edit?usp=sharing"",""จันทบุรี!J489"")"),0)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IFERROR(__xludf.DUMMYFUNCTION("IMPORTRANGE(""https://docs.google.com/spreadsheets/d/1SX6NBoVAgQJ6U1MVXOaj8PK2l7WJ3RER9xtqwdhxkhw/edit?usp=sharing"",""จันทบุรี!I490"")"),0)</f>
        <v>0</v>
      </c>
      <c r="J595" s="188">
        <f ca="1">IFERROR(__xludf.DUMMYFUNCTION("IMPORTRANGE(""https://docs.google.com/spreadsheets/d/1SX6NBoVAgQJ6U1MVXOaj8PK2l7WJ3RER9xtqwdhxkhw/edit?usp=sharing"",""จันทบุรี!J490"")"),0)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IFERROR(__xludf.DUMMYFUNCTION("IMPORTRANGE(""https://docs.google.com/spreadsheets/d/1SX6NBoVAgQJ6U1MVXOaj8PK2l7WJ3RER9xtqwdhxkhw/edit?usp=sharing"",""จันทบุรี!I491"")"),0)</f>
        <v>0</v>
      </c>
      <c r="J596" s="242">
        <f ca="1">IFERROR(__xludf.DUMMYFUNCTION("IMPORTRANGE(""https://docs.google.com/spreadsheets/d/1SX6NBoVAgQJ6U1MVXOaj8PK2l7WJ3RER9xtqwdhxkhw/edit?usp=sharing"",""จันทบุรี!J491"")"),0)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7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14.285714285714286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IFERROR(__xludf.DUMMYFUNCTION("IMPORTRANGE(""https://docs.google.com/spreadsheets/d/1SX6NBoVAgQJ6U1MVXOaj8PK2l7WJ3RER9xtqwdhxkhw/edit?usp=sharing"",""จันทบุรี!L493"")"),0)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IFERROR(__xludf.DUMMYFUNCTION("IMPORTRANGE(""https://docs.google.com/spreadsheets/d/1SX6NBoVAgQJ6U1MVXOaj8PK2l7WJ3RER9xtqwdhxkhw/edit?usp=sharing"",""จันทบุรี!M493"")"),0)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IFERROR(__xludf.DUMMYFUNCTION("IMPORTRANGE(""https://docs.google.com/spreadsheets/d/1SX6NBoVAgQJ6U1MVXOaj8PK2l7WJ3RER9xtqwdhxkhw/edit?usp=sharing"",""จันทบุรี!L494"")"),4550)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IFERROR(__xludf.DUMMYFUNCTION("IMPORTRANGE(""https://docs.google.com/spreadsheets/d/1SX6NBoVAgQJ6U1MVXOaj8PK2l7WJ3RER9xtqwdhxkhw/edit?usp=sharing"",""จันทบุรี!M494"")"),650)</f>
        <v>650</v>
      </c>
      <c r="O599" s="169">
        <f t="shared" ca="1" si="126"/>
        <v>14.285714285714286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IFERROR(__xludf.DUMMYFUNCTION("IMPORTRANGE(""https://docs.google.com/spreadsheets/d/1SX6NBoVAgQJ6U1MVXOaj8PK2l7WJ3RER9xtqwdhxkhw/edit?usp=sharing"",""จันทบุรี!L495"")"),0)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IFERROR(__xludf.DUMMYFUNCTION("IMPORTRANGE(""https://docs.google.com/spreadsheets/d/1SX6NBoVAgQJ6U1MVXOaj8PK2l7WJ3RER9xtqwdhxkhw/edit?usp=sharing"",""จันทบุรี!M495"")"),0)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IFERROR(__xludf.DUMMYFUNCTION("IMPORTRANGE(""https://docs.google.com/spreadsheets/d/1SX6NBoVAgQJ6U1MVXOaj8PK2l7WJ3RER9xtqwdhxkhw/edit?usp=sharing"",""จันทบุรี!L496"")"),4550)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IFERROR(__xludf.DUMMYFUNCTION("IMPORTRANGE(""https://docs.google.com/spreadsheets/d/1SX6NBoVAgQJ6U1MVXOaj8PK2l7WJ3RER9xtqwdhxkhw/edit?usp=sharing"",""จันทบุรี!M496"")"),650)</f>
        <v>650</v>
      </c>
      <c r="O601" s="169">
        <f t="shared" ca="1" si="126"/>
        <v>14.285714285714286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IFERROR(__xludf.DUMMYFUNCTION("IMPORTRANGE(""https://docs.google.com/spreadsheets/d/1SX6NBoVAgQJ6U1MVXOaj8PK2l7WJ3RER9xtqwdhxkhw/edit?usp=sharing"",""จันทบุรี!M497"")"),0)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IFERROR(__xludf.DUMMYFUNCTION("IMPORTRANGE(""https://docs.google.com/spreadsheets/d/1SX6NBoVAgQJ6U1MVXOaj8PK2l7WJ3RER9xtqwdhxkhw/edit?usp=sharing"",""จันทบุรี!M498"")"),0)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IFERROR(__xludf.DUMMYFUNCTION("IMPORTRANGE(""https://docs.google.com/spreadsheets/d/1SX6NBoVAgQJ6U1MVXOaj8PK2l7WJ3RER9xtqwdhxkhw/edit?usp=sharing"",""จันทบุรี!J502"")"),0)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IFERROR(__xludf.DUMMYFUNCTION("IMPORTRANGE(""https://docs.google.com/spreadsheets/d/1SX6NBoVAgQJ6U1MVXOaj8PK2l7WJ3RER9xtqwdhxkhw/edit?usp=sharing"",""จันทบุรี!J503"")"),1)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IFERROR(__xludf.DUMMYFUNCTION("IMPORTRANGE(""https://docs.google.com/spreadsheets/d/1SX6NBoVAgQJ6U1MVXOaj8PK2l7WJ3RER9xtqwdhxkhw/edit?usp=sharing"",""จันทบุรี!J166"")"),0)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IFERROR(__xludf.DUMMYFUNCTION("IMPORTRANGE(""https://docs.google.com/spreadsheets/d/1SX6NBoVAgQJ6U1MVXOaj8PK2l7WJ3RER9xtqwdhxkhw/edit?usp=sharing"",""จันทบุรี!J166"")"),0)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IFERROR(__xludf.DUMMYFUNCTION("IMPORTRANGE(""https://docs.google.com/spreadsheets/d/1SX6NBoVAgQJ6U1MVXOaj8PK2l7WJ3RER9xtqwdhxkhw/edit?usp=sharing"",""จันทบุรี!I506"")"),50)</f>
        <v>50</v>
      </c>
      <c r="J611" s="162">
        <f ca="1">IFERROR(__xludf.DUMMYFUNCTION("IMPORTRANGE(""https://docs.google.com/spreadsheets/d/1SX6NBoVAgQJ6U1MVXOaj8PK2l7WJ3RER9xtqwdhxkhw/edit?usp=sharing"",""จันทบุรี!J506"")"),0)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IFERROR(__xludf.DUMMYFUNCTION("IMPORTRANGE(""https://docs.google.com/spreadsheets/d/1SX6NBoVAgQJ6U1MVXOaj8PK2l7WJ3RER9xtqwdhxkhw/edit?usp=sharing"",""จันทบุรี!I507"")"),0)</f>
        <v>0</v>
      </c>
      <c r="J612" s="198">
        <f ca="1">IFERROR(__xludf.DUMMYFUNCTION("IMPORTRANGE(""https://docs.google.com/spreadsheets/d/1SX6NBoVAgQJ6U1MVXOaj8PK2l7WJ3RER9xtqwdhxkhw/edit?usp=sharing"",""จันทบุรี!J507"")"),0)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IFERROR(__xludf.DUMMYFUNCTION("IMPORTRANGE(""https://docs.google.com/spreadsheets/d/1SX6NBoVAgQJ6U1MVXOaj8PK2l7WJ3RER9xtqwdhxkhw/edit?usp=sharing"",""จันทบุรี!I508"")"),0)</f>
        <v>0</v>
      </c>
      <c r="J613" s="198">
        <f ca="1">IFERROR(__xludf.DUMMYFUNCTION("IMPORTRANGE(""https://docs.google.com/spreadsheets/d/1SX6NBoVAgQJ6U1MVXOaj8PK2l7WJ3RER9xtqwdhxkhw/edit?usp=sharing"",""จันทบุรี!J508"")"),0)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IFERROR(__xludf.DUMMYFUNCTION("IMPORTRANGE(""https://docs.google.com/spreadsheets/d/1SX6NBoVAgQJ6U1MVXOaj8PK2l7WJ3RER9xtqwdhxkhw/edit?usp=sharing"",""จันทบุรี!I509"")"),0)</f>
        <v>0</v>
      </c>
      <c r="J614" s="198">
        <f ca="1">IFERROR(__xludf.DUMMYFUNCTION("IMPORTRANGE(""https://docs.google.com/spreadsheets/d/1SX6NBoVAgQJ6U1MVXOaj8PK2l7WJ3RER9xtqwdhxkhw/edit?usp=sharing"",""จันทบุรี!J509"")"),0)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IFERROR(__xludf.DUMMYFUNCTION("IMPORTRANGE(""https://docs.google.com/spreadsheets/d/1SX6NBoVAgQJ6U1MVXOaj8PK2l7WJ3RER9xtqwdhxkhw/edit?usp=sharing"",""จันทบุรี!I510"")"),0)</f>
        <v>0</v>
      </c>
      <c r="J615" s="198">
        <f ca="1">IFERROR(__xludf.DUMMYFUNCTION("IMPORTRANGE(""https://docs.google.com/spreadsheets/d/1SX6NBoVAgQJ6U1MVXOaj8PK2l7WJ3RER9xtqwdhxkhw/edit?usp=sharing"",""จันทบุรี!J510"")"),0)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IFERROR(__xludf.DUMMYFUNCTION("IMPORTRANGE(""https://docs.google.com/spreadsheets/d/1SX6NBoVAgQJ6U1MVXOaj8PK2l7WJ3RER9xtqwdhxkhw/edit?usp=sharing"",""จันทบุรี!I511"")"),0)</f>
        <v>0</v>
      </c>
      <c r="J616" s="198">
        <f ca="1">IFERROR(__xludf.DUMMYFUNCTION("IMPORTRANGE(""https://docs.google.com/spreadsheets/d/1SX6NBoVAgQJ6U1MVXOaj8PK2l7WJ3RER9xtqwdhxkhw/edit?usp=sharing"",""จันทบุรี!J511"")"),0)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IFERROR(__xludf.DUMMYFUNCTION("IMPORTRANGE(""https://docs.google.com/spreadsheets/d/1SX6NBoVAgQJ6U1MVXOaj8PK2l7WJ3RER9xtqwdhxkhw/edit?usp=sharing"",""จันทบุรี!I512"")"),0)</f>
        <v>0</v>
      </c>
      <c r="J617" s="188">
        <f ca="1">IFERROR(__xludf.DUMMYFUNCTION("IMPORTRANGE(""https://docs.google.com/spreadsheets/d/1SX6NBoVAgQJ6U1MVXOaj8PK2l7WJ3RER9xtqwdhxkhw/edit?usp=sharing"",""จันทบุรี!J512"")"),0)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IFERROR(__xludf.DUMMYFUNCTION("IMPORTRANGE(""https://docs.google.com/spreadsheets/d/1SX6NBoVAgQJ6U1MVXOaj8PK2l7WJ3RER9xtqwdhxkhw/edit?usp=sharing"",""จันทบุรี!I513"")"),0)</f>
        <v>0</v>
      </c>
      <c r="J618" s="189">
        <f ca="1">IFERROR(__xludf.DUMMYFUNCTION("IMPORTRANGE(""https://docs.google.com/spreadsheets/d/1SX6NBoVAgQJ6U1MVXOaj8PK2l7WJ3RER9xtqwdhxkhw/edit?usp=sharing"",""จันทบุรี!J513"")"),0)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IFERROR(__xludf.DUMMYFUNCTION("IMPORTRANGE(""https://docs.google.com/spreadsheets/d/1SX6NBoVAgQJ6U1MVXOaj8PK2l7WJ3RER9xtqwdhxkhw/edit?usp=sharing"",""จันทบุรี!I514"")"),0)</f>
        <v>0</v>
      </c>
      <c r="J619" s="189">
        <f ca="1">IFERROR(__xludf.DUMMYFUNCTION("IMPORTRANGE(""https://docs.google.com/spreadsheets/d/1SX6NBoVAgQJ6U1MVXOaj8PK2l7WJ3RER9xtqwdhxkhw/edit?usp=sharing"",""จันทบุรี!J514"")"),0)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IFERROR(__xludf.DUMMYFUNCTION("IMPORTRANGE(""https://docs.google.com/spreadsheets/d/1SX6NBoVAgQJ6U1MVXOaj8PK2l7WJ3RER9xtqwdhxkhw/edit?usp=sharing"",""จันทบุรี!I515"")"),0)</f>
        <v>0</v>
      </c>
      <c r="J620" s="203">
        <f ca="1">IFERROR(__xludf.DUMMYFUNCTION("IMPORTRANGE(""https://docs.google.com/spreadsheets/d/1SX6NBoVAgQJ6U1MVXOaj8PK2l7WJ3RER9xtqwdhxkhw/edit?usp=sharing"",""จันทบุรี!J515"")"),0)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IFERROR(__xludf.DUMMYFUNCTION("IMPORTRANGE(""https://docs.google.com/spreadsheets/d/1SX6NBoVAgQJ6U1MVXOaj8PK2l7WJ3RER9xtqwdhxkhw/edit?usp=sharing"",""จันทบุรี!I516"")"),0)</f>
        <v>0</v>
      </c>
      <c r="J621" s="203">
        <f ca="1">IFERROR(__xludf.DUMMYFUNCTION("IMPORTRANGE(""https://docs.google.com/spreadsheets/d/1SX6NBoVAgQJ6U1MVXOaj8PK2l7WJ3RER9xtqwdhxkhw/edit?usp=sharing"",""จันทบุรี!J516"")"),0)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IFERROR(__xludf.DUMMYFUNCTION("IMPORTRANGE(""https://docs.google.com/spreadsheets/d/1SX6NBoVAgQJ6U1MVXOaj8PK2l7WJ3RER9xtqwdhxkhw/edit?usp=sharing"",""จันทบุรี!I517"")"),0)</f>
        <v>0</v>
      </c>
      <c r="J622" s="189">
        <f ca="1">IFERROR(__xludf.DUMMYFUNCTION("IMPORTRANGE(""https://docs.google.com/spreadsheets/d/1SX6NBoVAgQJ6U1MVXOaj8PK2l7WJ3RER9xtqwdhxkhw/edit?usp=sharing"",""จันทบุรี!J517"")"),0)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IFERROR(__xludf.DUMMYFUNCTION("IMPORTRANGE(""https://docs.google.com/spreadsheets/d/1SX6NBoVAgQJ6U1MVXOaj8PK2l7WJ3RER9xtqwdhxkhw/edit?usp=sharing"",""จันทบุรี!I518"")"),0)</f>
        <v>0</v>
      </c>
      <c r="J623" s="189">
        <f ca="1">IFERROR(__xludf.DUMMYFUNCTION("IMPORTRANGE(""https://docs.google.com/spreadsheets/d/1SX6NBoVAgQJ6U1MVXOaj8PK2l7WJ3RER9xtqwdhxkhw/edit?usp=sharing"",""จันทบุรี!J518"")"),0)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IFERROR(__xludf.DUMMYFUNCTION("IMPORTRANGE(""https://docs.google.com/spreadsheets/d/1SX6NBoVAgQJ6U1MVXOaj8PK2l7WJ3RER9xtqwdhxkhw/edit?usp=sharing"",""จันทบุรี!I519"")"),0)</f>
        <v>0</v>
      </c>
      <c r="J624" s="188">
        <f ca="1">IFERROR(__xludf.DUMMYFUNCTION("IMPORTRANGE(""https://docs.google.com/spreadsheets/d/1SX6NBoVAgQJ6U1MVXOaj8PK2l7WJ3RER9xtqwdhxkhw/edit?usp=sharing"",""จันทบุรี!J519"")"),0)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IFERROR(__xludf.DUMMYFUNCTION("IMPORTRANGE(""https://docs.google.com/spreadsheets/d/1SX6NBoVAgQJ6U1MVXOaj8PK2l7WJ3RER9xtqwdhxkhw/edit?usp=sharing"",""จันทบุรี!I520"")"),0)</f>
        <v>0</v>
      </c>
      <c r="J625" s="189">
        <f ca="1">IFERROR(__xludf.DUMMYFUNCTION("IMPORTRANGE(""https://docs.google.com/spreadsheets/d/1SX6NBoVAgQJ6U1MVXOaj8PK2l7WJ3RER9xtqwdhxkhw/edit?usp=sharing"",""จันทบุรี!J520"")"),0)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IFERROR(__xludf.DUMMYFUNCTION("IMPORTRANGE(""https://docs.google.com/spreadsheets/d/1SX6NBoVAgQJ6U1MVXOaj8PK2l7WJ3RER9xtqwdhxkhw/edit?usp=sharing"",""จันทบุรี!I521"")"),0)</f>
        <v>0</v>
      </c>
      <c r="J626" s="189">
        <f ca="1">IFERROR(__xludf.DUMMYFUNCTION("IMPORTRANGE(""https://docs.google.com/spreadsheets/d/1SX6NBoVAgQJ6U1MVXOaj8PK2l7WJ3RER9xtqwdhxkhw/edit?usp=sharing"",""จันทบุรี!J521"")"),0)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IFERROR(__xludf.DUMMYFUNCTION("IMPORTRANGE(""https://docs.google.com/spreadsheets/d/1SX6NBoVAgQJ6U1MVXOaj8PK2l7WJ3RER9xtqwdhxkhw/edit?usp=sharing"",""จันทบุรี!I523"")"),7886000)</f>
        <v>7886000</v>
      </c>
      <c r="J628" s="342">
        <f ca="1">IFERROR(__xludf.DUMMYFUNCTION("IMPORTRANGE(""https://docs.google.com/spreadsheets/d/1SX6NBoVAgQJ6U1MVXOaj8PK2l7WJ3RER9xtqwdhxkhw/edit?usp=sharing"",""จันทบุรี!J523"")"),5060000)</f>
        <v>5060000</v>
      </c>
      <c r="K628" s="343">
        <f t="shared" ref="K628:K635" ca="1" si="129">IF(I628&gt;0,J628*100/I628,0)</f>
        <v>64.164341871671311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IFERROR(__xludf.DUMMYFUNCTION("IMPORTRANGE(""https://docs.google.com/spreadsheets/d/1SX6NBoVAgQJ6U1MVXOaj8PK2l7WJ3RER9xtqwdhxkhw/edit?usp=sharing"",""จันทบุรี!I524"")"),395)</f>
        <v>395</v>
      </c>
      <c r="J629" s="342">
        <f ca="1">IFERROR(__xludf.DUMMYFUNCTION("IMPORTRANGE(""https://docs.google.com/spreadsheets/d/1SX6NBoVAgQJ6U1MVXOaj8PK2l7WJ3RER9xtqwdhxkhw/edit?usp=sharing"",""จันทบุรี!J524"")"),253)</f>
        <v>253</v>
      </c>
      <c r="K629" s="343">
        <f t="shared" ca="1" si="129"/>
        <v>64.050632911392398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2">
        <f ca="1">IFERROR(__xludf.DUMMYFUNCTION("IMPORTRANGE(""https://docs.google.com/spreadsheets/d/1SX6NBoVAgQJ6U1MVXOaj8PK2l7WJ3RER9xtqwdhxkhw/edit?usp=sharing"",""จันทบุรี!J525"")"),629451.86)</f>
        <v>629451.86</v>
      </c>
      <c r="K630" s="343">
        <f t="shared" ca="1" si="129"/>
        <v>3.8651143966093153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IFERROR(__xludf.DUMMYFUNCTION("IMPORTRANGE(""https://docs.google.com/spreadsheets/d/1SX6NBoVAgQJ6U1MVXOaj8PK2l7WJ3RER9xtqwdhxkhw/edit?usp=sharing"",""จันทบุรี!I526"")"),368)</f>
        <v>368</v>
      </c>
      <c r="J631" s="342">
        <f ca="1">IFERROR(__xludf.DUMMYFUNCTION("IMPORTRANGE(""https://docs.google.com/spreadsheets/d/1SX6NBoVAgQJ6U1MVXOaj8PK2l7WJ3RER9xtqwdhxkhw/edit?usp=sharing"",""จันทบุรี!J526"")"),85)</f>
        <v>85</v>
      </c>
      <c r="K631" s="343">
        <f t="shared" ca="1" si="129"/>
        <v>23.097826086956523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2">
        <f ca="1">IFERROR(__xludf.DUMMYFUNCTION("IMPORTRANGE(""https://docs.google.com/spreadsheets/d/1SX6NBoVAgQJ6U1MVXOaj8PK2l7WJ3RER9xtqwdhxkhw/edit?usp=sharing"",""จันทบุรี!J527"")"),328908.43)</f>
        <v>328908.43</v>
      </c>
      <c r="K632" s="343">
        <f t="shared" ca="1" si="129"/>
        <v>18.955767863807321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IFERROR(__xludf.DUMMYFUNCTION("IMPORTRANGE(""https://docs.google.com/spreadsheets/d/1SX6NBoVAgQJ6U1MVXOaj8PK2l7WJ3RER9xtqwdhxkhw/edit?usp=sharing"",""จันทบุรี!I528"")"),121)</f>
        <v>121</v>
      </c>
      <c r="J633" s="342">
        <f ca="1">IFERROR(__xludf.DUMMYFUNCTION("IMPORTRANGE(""https://docs.google.com/spreadsheets/d/1SX6NBoVAgQJ6U1MVXOaj8PK2l7WJ3RER9xtqwdhxkhw/edit?usp=sharing"",""จันทบุรี!J528"")"),68)</f>
        <v>68</v>
      </c>
      <c r="K633" s="343">
        <f t="shared" ca="1" si="129"/>
        <v>56.198347107438018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IFERROR(__xludf.DUMMYFUNCTION("IMPORTRANGE(""https://docs.google.com/spreadsheets/d/1SX6NBoVAgQJ6U1MVXOaj8PK2l7WJ3RER9xtqwdhxkhw/edit?usp=sharing"",""จันทบุรี!I529"")"),4000000)</f>
        <v>4000000</v>
      </c>
      <c r="J634" s="342">
        <f ca="1">IFERROR(__xludf.DUMMYFUNCTION("IMPORTRANGE(""https://docs.google.com/spreadsheets/d/1SX6NBoVAgQJ6U1MVXOaj8PK2l7WJ3RER9xtqwdhxkhw/edit?usp=sharing"",""จันทบุรี!J529"")"),3740000)</f>
        <v>3740000</v>
      </c>
      <c r="K634" s="343">
        <f t="shared" ca="1" si="129"/>
        <v>93.5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IFERROR(__xludf.DUMMYFUNCTION("IMPORTRANGE(""https://docs.google.com/spreadsheets/d/1SX6NBoVAgQJ6U1MVXOaj8PK2l7WJ3RER9xtqwdhxkhw/edit?usp=sharing"",""จันทบุรี!I530"")"),200)</f>
        <v>200</v>
      </c>
      <c r="J635" s="504">
        <f ca="1">IFERROR(__xludf.DUMMYFUNCTION("IMPORTRANGE(""https://docs.google.com/spreadsheets/d/1SX6NBoVAgQJ6U1MVXOaj8PK2l7WJ3RER9xtqwdhxkhw/edit?usp=sharing"",""จันทบุรี!J530"")"),187)</f>
        <v>187</v>
      </c>
      <c r="K635" s="486">
        <f t="shared" ca="1" si="129"/>
        <v>93.5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9670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9670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9670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IFERROR(__xludf.DUMMYFUNCTION("IMPORTRANGE(""https://docs.google.com/spreadsheets/d/1SX6NBoVAgQJ6U1MVXOaj8PK2l7WJ3RER9xtqwdhxkhw/edit#gid=346597447"",""จันทบุรี!J541"")"),0)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IFERROR(__xludf.DUMMYFUNCTION("IMPORTRANGE(""https://docs.google.com/spreadsheets/d/1SX6NBoVAgQJ6U1MVXOaj8PK2l7WJ3RER9xtqwdhxkhw/edit#gid=346597447"",""จันทบุรี!J542"")"),0)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IFERROR(__xludf.DUMMYFUNCTION("IMPORTRANGE(""https://docs.google.com/spreadsheets/d/1SX6NBoVAgQJ6U1MVXOaj8PK2l7WJ3RER9xtqwdhxkhw/edit#gid=346597447"",""จันทบุรี!I543"")"),0)</f>
        <v>0</v>
      </c>
      <c r="J648" s="536">
        <f ca="1">IFERROR(__xludf.DUMMYFUNCTION("IMPORTRANGE(""https://docs.google.com/spreadsheets/d/1SX6NBoVAgQJ6U1MVXOaj8PK2l7WJ3RER9xtqwdhxkhw/edit#gid=346597447"",""จันทบุรี!J543"")"),0)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IFERROR(__xludf.DUMMYFUNCTION("IMPORTRANGE(""https://docs.google.com/spreadsheets/d/1SX6NBoVAgQJ6U1MVXOaj8PK2l7WJ3RER9xtqwdhxkhw/edit#gid=346597447"",""จันทบุรี!L543"")"),0)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IFERROR(__xludf.DUMMYFUNCTION("IMPORTRANGE(""https://docs.google.com/spreadsheets/d/1SX6NBoVAgQJ6U1MVXOaj8PK2l7WJ3RER9xtqwdhxkhw/edit#gid=346597447"",""จันทบุรี!M543"")"),0)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IFERROR(__xludf.DUMMYFUNCTION("IMPORTRANGE(""https://docs.google.com/spreadsheets/d/1SX6NBoVAgQJ6U1MVXOaj8PK2l7WJ3RER9xtqwdhxkhw/edit#gid=346597447"",""จันทบุรี!I544"")"),0)</f>
        <v>0</v>
      </c>
      <c r="J649" s="536">
        <f ca="1">IFERROR(__xludf.DUMMYFUNCTION("IMPORTRANGE(""https://docs.google.com/spreadsheets/d/1SX6NBoVAgQJ6U1MVXOaj8PK2l7WJ3RER9xtqwdhxkhw/edit#gid=346597447"",""จันทบุรี!J544"")"),0)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IFERROR(__xludf.DUMMYFUNCTION("IMPORTRANGE(""https://docs.google.com/spreadsheets/d/1SX6NBoVAgQJ6U1MVXOaj8PK2l7WJ3RER9xtqwdhxkhw/edit#gid=346597447"",""จันทบุรี!L544"")"),0)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IFERROR(__xludf.DUMMYFUNCTION("IMPORTRANGE(""https://docs.google.com/spreadsheets/d/1SX6NBoVAgQJ6U1MVXOaj8PK2l7WJ3RER9xtqwdhxkhw/edit#gid=346597447"",""จันทบุรี!M544"")"),0)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IFERROR(__xludf.DUMMYFUNCTION("IMPORTRANGE(""https://docs.google.com/spreadsheets/d/1SX6NBoVAgQJ6U1MVXOaj8PK2l7WJ3RER9xtqwdhxkhw/edit#gid=346597447"",""จันทบุรี!I545"")"),11)</f>
        <v>11</v>
      </c>
      <c r="J650" s="536">
        <f ca="1">IFERROR(__xludf.DUMMYFUNCTION("IMPORTRANGE(""https://docs.google.com/spreadsheets/d/1SX6NBoVAgQJ6U1MVXOaj8PK2l7WJ3RER9xtqwdhxkhw/edit#gid=346597447"",""จันทบุรี!J545"")"),0)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IFERROR(__xludf.DUMMYFUNCTION("IMPORTRANGE(""https://docs.google.com/spreadsheets/d/1SX6NBoVAgQJ6U1MVXOaj8PK2l7WJ3RER9xtqwdhxkhw/edit#gid=346597447"",""จันทบุรี!L545"")"),55)</f>
        <v>55</v>
      </c>
      <c r="M650" s="521"/>
      <c r="N650" s="538">
        <f ca="1">IFERROR(__xludf.DUMMYFUNCTION("IMPORTRANGE(""https://docs.google.com/spreadsheets/d/1SX6NBoVAgQJ6U1MVXOaj8PK2l7WJ3RER9xtqwdhxkhw/edit#gid=346597447"",""จันทบุรี!M545"")"),0)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IFERROR(__xludf.DUMMYFUNCTION("IMPORTRANGE(""https://docs.google.com/spreadsheets/d/1SX6NBoVAgQJ6U1MVXOaj8PK2l7WJ3RER9xtqwdhxkhw/edit#gid=346597447"",""จันทบุรี!I546"")"),175)</f>
        <v>175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IFERROR(__xludf.DUMMYFUNCTION("IMPORTRANGE(""https://docs.google.com/spreadsheets/d/1SX6NBoVAgQJ6U1MVXOaj8PK2l7WJ3RER9xtqwdhxkhw/edit#gid=346597447"",""จันทบุรี!L546"")"),4375)</f>
        <v>4375</v>
      </c>
      <c r="M651" s="521"/>
      <c r="N651" s="538">
        <f ca="1">IFERROR(__xludf.DUMMYFUNCTION("IMPORTRANGE(""https://docs.google.com/spreadsheets/d/1SX6NBoVAgQJ6U1MVXOaj8PK2l7WJ3RER9xtqwdhxkhw/edit#gid=346597447"",""จันทบุรี!M546"")"),0)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IFERROR(__xludf.DUMMYFUNCTION("IMPORTRANGE(""https://docs.google.com/spreadsheets/d/1SX6NBoVAgQJ6U1MVXOaj8PK2l7WJ3RER9xtqwdhxkhw/edit#gid=346597447"",""จันทบุรี!J547"")"),0)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IFERROR(__xludf.DUMMYFUNCTION("IMPORTRANGE(""https://docs.google.com/spreadsheets/d/1SX6NBoVAgQJ6U1MVXOaj8PK2l7WJ3RER9xtqwdhxkhw/edit#gid=346597447"",""จันทบุรี!J548"")"),0)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IFERROR(__xludf.DUMMYFUNCTION("IMPORTRANGE(""https://docs.google.com/spreadsheets/d/1SX6NBoVAgQJ6U1MVXOaj8PK2l7WJ3RER9xtqwdhxkhw/edit#gid=346597447"",""จันทบุรี!J550"")"),0)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IFERROR(__xludf.DUMMYFUNCTION("IMPORTRANGE(""https://docs.google.com/spreadsheets/d/1SX6NBoVAgQJ6U1MVXOaj8PK2l7WJ3RER9xtqwdhxkhw/edit#gid=346597447"",""จันทบุรี!J551"")"),0)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IFERROR(__xludf.DUMMYFUNCTION("IMPORTRANGE(""https://docs.google.com/spreadsheets/d/1SX6NBoVAgQJ6U1MVXOaj8PK2l7WJ3RER9xtqwdhxkhw/edit#gid=346597447"",""จันทบุรี!J552"")"),0)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IFERROR(__xludf.DUMMYFUNCTION("IMPORTRANGE(""https://docs.google.com/spreadsheets/d/1SX6NBoVAgQJ6U1MVXOaj8PK2l7WJ3RER9xtqwdhxkhw/edit#gid=346597447"",""จันทบุรี!J553"")"),0)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IFERROR(__xludf.DUMMYFUNCTION("IMPORTRANGE(""https://docs.google.com/spreadsheets/d/1SX6NBoVAgQJ6U1MVXOaj8PK2l7WJ3RER9xtqwdhxkhw/edit#gid=346597447"",""จันทบุรี!J554"")"),0)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IFERROR(__xludf.DUMMYFUNCTION("IMPORTRANGE(""https://docs.google.com/spreadsheets/d/1SX6NBoVAgQJ6U1MVXOaj8PK2l7WJ3RER9xtqwdhxkhw/edit#gid=346597447"",""จันทบุรี!J555"")"),0)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IFERROR(__xludf.DUMMYFUNCTION("IMPORTRANGE(""https://docs.google.com/spreadsheets/d/1SX6NBoVAgQJ6U1MVXOaj8PK2l7WJ3RER9xtqwdhxkhw/edit#gid=346597447"",""จันทบุรี!J556"")"),0)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IFERROR(__xludf.DUMMYFUNCTION("IMPORTRANGE(""https://docs.google.com/spreadsheets/d/1SX6NBoVAgQJ6U1MVXOaj8PK2l7WJ3RER9xtqwdhxkhw/edit#gid=346597447"",""จันทบุรี!L556"")"),1160)</f>
        <v>1160</v>
      </c>
      <c r="M661" s="521"/>
      <c r="N661" s="538">
        <f ca="1">IFERROR(__xludf.DUMMYFUNCTION("IMPORTRANGE(""https://docs.google.com/spreadsheets/d/1SX6NBoVAgQJ6U1MVXOaj8PK2l7WJ3RER9xtqwdhxkhw/edit#gid=346597447"",""จันทบุรี!M556"")"),0)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IFERROR(__xludf.DUMMYFUNCTION("IMPORTRANGE(""https://docs.google.com/spreadsheets/d/1SX6NBoVAgQJ6U1MVXOaj8PK2l7WJ3RER9xtqwdhxkhw/edit#gid=346597447"",""จันทบุรี!J557"")"),0)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IFERROR(__xludf.DUMMYFUNCTION("IMPORTRANGE(""https://docs.google.com/spreadsheets/d/1SX6NBoVAgQJ6U1MVXOaj8PK2l7WJ3RER9xtqwdhxkhw/edit#gid=346597447"",""จันทบุรี!I558"")"),29)</f>
        <v>29</v>
      </c>
      <c r="J663" s="536">
        <f ca="1">IFERROR(__xludf.DUMMYFUNCTION("IMPORTRANGE(""https://docs.google.com/spreadsheets/d/1SX6NBoVAgQJ6U1MVXOaj8PK2l7WJ3RER9xtqwdhxkhw/edit#gid=346597447"",""จันทบุรี!J558"")"),0)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IFERROR(__xludf.DUMMYFUNCTION("IMPORTRANGE(""https://docs.google.com/spreadsheets/d/1SX6NBoVAgQJ6U1MVXOaj8PK2l7WJ3RER9xtqwdhxkhw/edit#gid=346597447"",""จันทบุรี!I560"")"),2)</f>
        <v>2</v>
      </c>
      <c r="J665" s="536">
        <f ca="1">IFERROR(__xludf.DUMMYFUNCTION("IMPORTRANGE(""https://docs.google.com/spreadsheets/d/1SX6NBoVAgQJ6U1MVXOaj8PK2l7WJ3RER9xtqwdhxkhw/edit#gid=346597447"",""จันทบุรี!J560"")"),0)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IFERROR(__xludf.DUMMYFUNCTION("IMPORTRANGE(""https://docs.google.com/spreadsheets/d/1SX6NBoVAgQJ6U1MVXOaj8PK2l7WJ3RER9xtqwdhxkhw/edit#gid=346597447"",""จันทบุรี!L560"")"),240)</f>
        <v>240</v>
      </c>
      <c r="M665" s="521"/>
      <c r="N665" s="538">
        <f ca="1">IFERROR(__xludf.DUMMYFUNCTION("IMPORTRANGE(""https://docs.google.com/spreadsheets/d/1SX6NBoVAgQJ6U1MVXOaj8PK2l7WJ3RER9xtqwdhxkhw/edit#gid=346597447"",""จันทบุรี!M560"")"),0)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IFERROR(__xludf.DUMMYFUNCTION("IMPORTRANGE(""https://docs.google.com/spreadsheets/d/1SX6NBoVAgQJ6U1MVXOaj8PK2l7WJ3RER9xtqwdhxkhw/edit#gid=346597447"",""จันทบุรี!J561"")"),0)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IFERROR(__xludf.DUMMYFUNCTION("IMPORTRANGE(""https://docs.google.com/spreadsheets/d/1SX6NBoVAgQJ6U1MVXOaj8PK2l7WJ3RER9xtqwdhxkhw/edit#gid=346597447"",""จันทบุรี!J562"")"),0)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IFERROR(__xludf.DUMMYFUNCTION("IMPORTRANGE(""https://docs.google.com/spreadsheets/d/1SX6NBoVAgQJ6U1MVXOaj8PK2l7WJ3RER9xtqwdhxkhw/edit#gid=346597447"",""จันทบุรี!I563"")"),0)</f>
        <v>0</v>
      </c>
      <c r="J668" s="536">
        <f ca="1">IFERROR(__xludf.DUMMYFUNCTION("IMPORTRANGE(""https://docs.google.com/spreadsheets/d/1SX6NBoVAgQJ6U1MVXOaj8PK2l7WJ3RER9xtqwdhxkhw/edit#gid=346597447"",""จันทบุรี!J563"")"),0)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IFERROR(__xludf.DUMMYFUNCTION("IMPORTRANGE(""https://docs.google.com/spreadsheets/d/1SX6NBoVAgQJ6U1MVXOaj8PK2l7WJ3RER9xtqwdhxkhw/edit#gid=346597447"",""จันทบุรี!L563"")"),0)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IFERROR(__xludf.DUMMYFUNCTION("IMPORTRANGE(""https://docs.google.com/spreadsheets/d/1SX6NBoVAgQJ6U1MVXOaj8PK2l7WJ3RER9xtqwdhxkhw/edit#gid=346597447"",""จันทบุรี!M563"")"),0)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IFERROR(__xludf.DUMMYFUNCTION("IMPORTRANGE(""https://docs.google.com/spreadsheets/d/1SX6NBoVAgQJ6U1MVXOaj8PK2l7WJ3RER9xtqwdhxkhw/edit#gid=346597447"",""จันทบุรี!J564"")"),0)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IFERROR(__xludf.DUMMYFUNCTION("IMPORTRANGE(""https://docs.google.com/spreadsheets/d/1SX6NBoVAgQJ6U1MVXOaj8PK2l7WJ3RER9xtqwdhxkhw/edit#gid=346597447"",""จันทบุรี!J565"")"),0)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IFERROR(__xludf.DUMMYFUNCTION("IMPORTRANGE(""https://docs.google.com/spreadsheets/d/1SX6NBoVAgQJ6U1MVXOaj8PK2l7WJ3RER9xtqwdhxkhw/edit#gid=346597447"",""จันทบุรี!I566"")"),48)</f>
        <v>48</v>
      </c>
      <c r="J671" s="536">
        <f ca="1">J674+J677</f>
        <v>48</v>
      </c>
      <c r="K671" s="537">
        <f ca="1">IF(I671&gt;0,J671*100/I671,0)</f>
        <v>100</v>
      </c>
      <c r="L671" s="522">
        <f ca="1">IFERROR(__xludf.DUMMYFUNCTION("IMPORTRANGE(""https://docs.google.com/spreadsheets/d/1SX6NBoVAgQJ6U1MVXOaj8PK2l7WJ3RER9xtqwdhxkhw/edit#gid=346597447"",""จันทบุรี!L566"")"),3840)</f>
        <v>3840</v>
      </c>
      <c r="M671" s="521"/>
      <c r="N671" s="538">
        <f ca="1">IFERROR(__xludf.DUMMYFUNCTION("IMPORTRANGE(""https://docs.google.com/spreadsheets/d/1SX6NBoVAgQJ6U1MVXOaj8PK2l7WJ3RER9xtqwdhxkhw/edit#gid=346597447"",""จันทบุรี!M566"")"),0)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IFERROR(__xludf.DUMMYFUNCTION("IMPORTRANGE(""https://docs.google.com/spreadsheets/d/1SX6NBoVAgQJ6U1MVXOaj8PK2l7WJ3RER9xtqwdhxkhw/edit#gid=346597447"",""จันทบุรี!J567"")"),1)</f>
        <v>1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IFERROR(__xludf.DUMMYFUNCTION("IMPORTRANGE(""https://docs.google.com/spreadsheets/d/1SX6NBoVAgQJ6U1MVXOaj8PK2l7WJ3RER9xtqwdhxkhw/edit#gid=346597447"",""จันทบุรี!J568"")"),1)</f>
        <v>1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IFERROR(__xludf.DUMMYFUNCTION("IMPORTRANGE(""https://docs.google.com/spreadsheets/d/1SX6NBoVAgQJ6U1MVXOaj8PK2l7WJ3RER9xtqwdhxkhw/edit#gid=346597447"",""จันทบุรี!J569"")"),7)</f>
        <v>7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IFERROR(__xludf.DUMMYFUNCTION("IMPORTRANGE(""https://docs.google.com/spreadsheets/d/1SX6NBoVAgQJ6U1MVXOaj8PK2l7WJ3RER9xtqwdhxkhw/edit#gid=346597447"",""จันทบุรี!J570"")"),4)</f>
        <v>4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IFERROR(__xludf.DUMMYFUNCTION("IMPORTRANGE(""https://docs.google.com/spreadsheets/d/1SX6NBoVAgQJ6U1MVXOaj8PK2l7WJ3RER9xtqwdhxkhw/edit#gid=346597447"",""จันทบุรี!J571"")"),4)</f>
        <v>4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IFERROR(__xludf.DUMMYFUNCTION("IMPORTRANGE(""https://docs.google.com/spreadsheets/d/1SX6NBoVAgQJ6U1MVXOaj8PK2l7WJ3RER9xtqwdhxkhw/edit#gid=346597447"",""จันทบุรี!J572"")"),41)</f>
        <v>41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264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7675554</v>
      </c>
      <c r="M8" s="23">
        <f t="shared" ca="1" si="0"/>
        <v>4237435</v>
      </c>
      <c r="N8" s="23">
        <f t="shared" ca="1" si="0"/>
        <v>5434341.0899999999</v>
      </c>
      <c r="O8" s="22">
        <f t="shared" ref="O8:O16" ca="1" si="1">IF(L8&gt;0,N8*100/L8,0)</f>
        <v>70.800636540372196</v>
      </c>
      <c r="P8" s="22">
        <f t="shared" ref="P8:P16" ca="1" si="2">IF(M8&gt;0,N8*100/M8,0)</f>
        <v>128.2460047174765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7675554</v>
      </c>
      <c r="M10" s="30">
        <f t="shared" ca="1" si="4"/>
        <v>4237435</v>
      </c>
      <c r="N10" s="30">
        <f t="shared" ca="1" si="4"/>
        <v>5434341.0899999999</v>
      </c>
      <c r="O10" s="29">
        <f t="shared" ca="1" si="1"/>
        <v>70.800636540372196</v>
      </c>
      <c r="P10" s="29">
        <f t="shared" ca="1" si="2"/>
        <v>128.2460047174765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6444154</v>
      </c>
      <c r="M12" s="38">
        <f t="shared" ca="1" si="6"/>
        <v>3006035</v>
      </c>
      <c r="N12" s="38">
        <f t="shared" ca="1" si="6"/>
        <v>4202941.09</v>
      </c>
      <c r="O12" s="38">
        <f t="shared" ca="1" si="1"/>
        <v>65.22099083913885</v>
      </c>
      <c r="P12" s="38">
        <f t="shared" ca="1" si="2"/>
        <v>139.81677159447577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2298800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4145354</v>
      </c>
      <c r="M14" s="38">
        <f t="shared" si="8"/>
        <v>0</v>
      </c>
      <c r="N14" s="38">
        <f t="shared" ca="1" si="8"/>
        <v>1666842.02</v>
      </c>
      <c r="O14" s="38">
        <f t="shared" ca="1" si="1"/>
        <v>40.209883643230469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1231400</v>
      </c>
      <c r="M16" s="38">
        <f t="shared" ca="1" si="10"/>
        <v>1231400</v>
      </c>
      <c r="N16" s="38">
        <f t="shared" ca="1" si="10"/>
        <v>1231400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4980635</v>
      </c>
      <c r="M18" s="23">
        <f t="shared" ca="1" si="11"/>
        <v>4237435</v>
      </c>
      <c r="N18" s="23">
        <f t="shared" ca="1" si="11"/>
        <v>3767499.0700000003</v>
      </c>
      <c r="O18" s="22">
        <f t="shared" ref="O18:O20" ca="1" si="12">IF(L18&gt;0,N18*100/L18,0)</f>
        <v>75.642946531918113</v>
      </c>
      <c r="P18" s="22">
        <f t="shared" ref="P18:P26" ca="1" si="13">IF(M18&gt;0,N18*100/M18,0)</f>
        <v>88.909896434989562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4980635</v>
      </c>
      <c r="M20" s="30">
        <f t="shared" ca="1" si="15"/>
        <v>4237435</v>
      </c>
      <c r="N20" s="30">
        <f t="shared" ca="1" si="15"/>
        <v>3767499.0700000003</v>
      </c>
      <c r="O20" s="29">
        <f t="shared" ca="1" si="12"/>
        <v>75.642946531918113</v>
      </c>
      <c r="P20" s="29">
        <f t="shared" ca="1" si="13"/>
        <v>88.909896434989562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3749235</v>
      </c>
      <c r="M22" s="41">
        <f t="shared" ca="1" si="18"/>
        <v>3006035</v>
      </c>
      <c r="N22" s="38">
        <f t="shared" ca="1" si="18"/>
        <v>2536099.0700000003</v>
      </c>
      <c r="O22" s="38">
        <f t="shared" ca="1" si="17"/>
        <v>67.643107727309712</v>
      </c>
      <c r="P22" s="38">
        <f t="shared" ca="1" si="13"/>
        <v>84.366917550860194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2298800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1231400</v>
      </c>
      <c r="M26" s="49">
        <f t="shared" ca="1" si="22"/>
        <v>1231400</v>
      </c>
      <c r="N26" s="49">
        <f t="shared" ca="1" si="22"/>
        <v>1231400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2694919</v>
      </c>
      <c r="M28" s="23">
        <f t="shared" si="23"/>
        <v>0</v>
      </c>
      <c r="N28" s="23">
        <f t="shared" ca="1" si="23"/>
        <v>1666842.02</v>
      </c>
      <c r="O28" s="22">
        <f t="shared" ref="O28:O30" ca="1" si="24">IF(L28&gt;0,N28*100/L28,0)</f>
        <v>61.851284584063563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2694919</v>
      </c>
      <c r="M30" s="30">
        <f t="shared" si="27"/>
        <v>0</v>
      </c>
      <c r="N30" s="30">
        <f t="shared" ca="1" si="27"/>
        <v>1666842.02</v>
      </c>
      <c r="O30" s="29">
        <f t="shared" ca="1" si="24"/>
        <v>61.851284584063563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2694919</v>
      </c>
      <c r="M32" s="38">
        <f t="shared" si="30"/>
        <v>0</v>
      </c>
      <c r="N32" s="38">
        <f t="shared" ca="1" si="30"/>
        <v>1666842.02</v>
      </c>
      <c r="O32" s="38">
        <f t="shared" ca="1" si="29"/>
        <v>61.851284584063563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2694919</v>
      </c>
      <c r="M34" s="38">
        <f t="shared" si="32"/>
        <v>0</v>
      </c>
      <c r="N34" s="38">
        <f t="shared" ca="1" si="32"/>
        <v>1666842.02</v>
      </c>
      <c r="O34" s="38">
        <f t="shared" ca="1" si="29"/>
        <v>61.851284584063563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4980635</v>
      </c>
      <c r="M37" s="54">
        <f t="shared" ca="1" si="33"/>
        <v>4237435</v>
      </c>
      <c r="N37" s="54">
        <f t="shared" ca="1" si="33"/>
        <v>3767499.0700000003</v>
      </c>
      <c r="O37" s="55">
        <f t="shared" ca="1" si="29"/>
        <v>75.642946531918113</v>
      </c>
      <c r="P37" s="55">
        <f t="shared" ca="1" si="25"/>
        <v>88.909896434989562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2050100</v>
      </c>
      <c r="M41" s="78">
        <f t="shared" ca="1" si="34"/>
        <v>1818100</v>
      </c>
      <c r="N41" s="78">
        <f t="shared" ca="1" si="34"/>
        <v>1755179</v>
      </c>
      <c r="O41" s="77">
        <f t="shared" ref="O41:O43" ca="1" si="35">IF(L41&gt;0,N41*100/L41,0)</f>
        <v>85.614311497000145</v>
      </c>
      <c r="P41" s="77">
        <f t="shared" ref="P41:P43" ca="1" si="36">IF(M41&gt;0,N41*100/M41,0)</f>
        <v>96.53918926351686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2050100</v>
      </c>
      <c r="M43" s="78">
        <f t="shared" ca="1" si="38"/>
        <v>1818100</v>
      </c>
      <c r="N43" s="78">
        <f t="shared" ca="1" si="38"/>
        <v>1755179</v>
      </c>
      <c r="O43" s="77">
        <f t="shared" ca="1" si="35"/>
        <v>85.614311497000145</v>
      </c>
      <c r="P43" s="77">
        <f t="shared" ca="1" si="36"/>
        <v>96.53918926351686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928100</v>
      </c>
      <c r="M45" s="49">
        <f ca="1">IFERROR(__xludf.DUMMYFUNCTION("IMPORTRANGE(""https://docs.google.com/spreadsheets/d/1Yj_ptqi66GCucihVvJfMjLAmec39IyEx_6qawtMGysU/edit?usp=sharing"",""สบก!Q61"")"),696100)</f>
        <v>696100</v>
      </c>
      <c r="N45" s="49">
        <f ca="1">IFERROR(__xludf.DUMMYFUNCTION("IMPORTRANGE(""https://docs.google.com/spreadsheets/d/1Yj_ptqi66GCucihVvJfMjLAmec39IyEx_6qawtMGysU/edit?usp=sharing"",""สบก!R61"")"),633179)</f>
        <v>633179</v>
      </c>
      <c r="O45" s="38">
        <f ca="1">IF(L45&gt;0,N45*100/L45,0)</f>
        <v>68.223144057752393</v>
      </c>
      <c r="P45" s="38">
        <f ca="1">IF(M45&gt;0,N45*100/M45,0)</f>
        <v>90.960925154431834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IFERROR(__xludf.DUMMYFUNCTION("IMPORTRANGE(""https://docs.google.com/spreadsheets/d/1Yj_ptqi66GCucihVvJfMjLAmec39IyEx_6qawtMGysU/edit?usp=sharing"",""สบก!M61"")"),928100)</f>
        <v>928100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IFERROR(__xludf.DUMMYFUNCTION("IMPORTRANGE(""https://docs.google.com/spreadsheets/d/1Yj_ptqi66GCucihVvJfMjLAmec39IyEx_6qawtMGysU/edit?usp=sharing"",""สบก!O61"")"),1122000)</f>
        <v>1122000</v>
      </c>
      <c r="M49" s="49">
        <f ca="1">L49</f>
        <v>1122000</v>
      </c>
      <c r="N49" s="49">
        <f ca="1">IFERROR(__xludf.DUMMYFUNCTION("IMPORTRANGE(""https://docs.google.com/spreadsheets/d/1Yj_ptqi66GCucihVvJfMjLAmec39IyEx_6qawtMGysU/edit?usp=sharing"",""สบก!S61"")"),1122000)</f>
        <v>1122000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530000</v>
      </c>
      <c r="M53" s="121">
        <f t="shared" ca="1" si="39"/>
        <v>433650</v>
      </c>
      <c r="N53" s="121">
        <f t="shared" ca="1" si="39"/>
        <v>367714</v>
      </c>
      <c r="O53" s="120">
        <f t="shared" ref="O53:O55" ca="1" si="40">IF(L53&gt;0,N53*100/L53,0)</f>
        <v>69.38</v>
      </c>
      <c r="P53" s="120">
        <f t="shared" ref="P53:P55" ca="1" si="41">IF(M53&gt;0,N53*100/M53,0)</f>
        <v>84.79511126484492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530000</v>
      </c>
      <c r="M55" s="121">
        <f t="shared" ca="1" si="43"/>
        <v>433650</v>
      </c>
      <c r="N55" s="121">
        <f t="shared" ca="1" si="43"/>
        <v>367714</v>
      </c>
      <c r="O55" s="120">
        <f t="shared" ca="1" si="40"/>
        <v>69.38</v>
      </c>
      <c r="P55" s="120">
        <f t="shared" ca="1" si="41"/>
        <v>84.79511126484492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530000</v>
      </c>
      <c r="M57" s="49">
        <f ca="1">IFERROR(__xludf.DUMMYFUNCTION("IMPORTRANGE(""https://docs.google.com/spreadsheets/d/1Yj_ptqi66GCucihVvJfMjLAmec39IyEx_6qawtMGysU/edit?usp=sharing"",""สบก!Z61"")"),433650)</f>
        <v>433650</v>
      </c>
      <c r="N57" s="49">
        <f ca="1">IFERROR(__xludf.DUMMYFUNCTION("IMPORTRANGE(""https://docs.google.com/spreadsheets/d/1Yj_ptqi66GCucihVvJfMjLAmec39IyEx_6qawtMGysU/edit?usp=sharing"",""สบก!AA61"")"),367714)</f>
        <v>367714</v>
      </c>
      <c r="O57" s="38">
        <f ca="1">IF(L57&gt;0,N57*100/L57,0)</f>
        <v>69.38</v>
      </c>
      <c r="P57" s="38">
        <f ca="1">IF(M57&gt;0,N57*100/M57,0)</f>
        <v>84.79511126484492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IFERROR(__xludf.DUMMYFUNCTION("IMPORTRANGE(""https://docs.google.com/spreadsheets/d/1Yj_ptqi66GCucihVvJfMjLAmec39IyEx_6qawtMGysU/edit?usp=sharing"",""สบก!V61"")"),530000)</f>
        <v>530000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6500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6500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IFERROR(__xludf.DUMMYFUNCTION("IMPORTRANGE(""https://docs.google.com/spreadsheets/d/1Yj_ptqi66GCucihVvJfMjLAmec39IyEx_6qawtMGysU/edit?usp=sharing"",""สบก!AI61"")"),6500)</f>
        <v>6500</v>
      </c>
      <c r="N70" s="169">
        <f ca="1">IFERROR(__xludf.DUMMYFUNCTION("IMPORTRANGE(""https://docs.google.com/spreadsheets/d/1Yj_ptqi66GCucihVvJfMjLAmec39IyEx_6qawtMGysU/edit?usp=sharing"",""สบก!AJ61"")"),0)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IFERROR(__xludf.DUMMYFUNCTION("IMPORTRANGE(""https://docs.google.com/spreadsheets/d/1Yj_ptqi66GCucihVvJfMjLAmec39IyEx_6qawtMGysU/edit?usp=sharing"",""สบก!AE61"")"),0)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IFERROR(__xludf.DUMMYFUNCTION("IMPORTRANGE(""https://docs.google.com/spreadsheets/d/1Yj_ptqi66GCucihVvJfMjLAmec39IyEx_6qawtMGysU/edit?usp=sharing"",""สบก!AF61"")"),0)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IFERROR(__xludf.DUMMYFUNCTION("IMPORTRANGE(""https://docs.google.com/spreadsheets/d/1SX6NBoVAgQJ6U1MVXOaj8PK2l7WJ3RER9xtqwdhxkhw/edit?usp=sharing"",""ฉะเชิงเทรา!J16"")"),0)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IFERROR(__xludf.DUMMYFUNCTION("IMPORTRANGE(""https://docs.google.com/spreadsheets/d/1SX6NBoVAgQJ6U1MVXOaj8PK2l7WJ3RER9xtqwdhxkhw/edit?usp=sharing"",""ฉะเชิงเทรา!J17"")"),0)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IFERROR(__xludf.DUMMYFUNCTION("IMPORTRANGE(""https://docs.google.com/spreadsheets/d/1SX6NBoVAgQJ6U1MVXOaj8PK2l7WJ3RER9xtqwdhxkhw/edit?usp=sharing"",""ฉะเชิงเทรา!J18"")"),0)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IFERROR(__xludf.DUMMYFUNCTION("IMPORTRANGE(""https://docs.google.com/spreadsheets/d/1SX6NBoVAgQJ6U1MVXOaj8PK2l7WJ3RER9xtqwdhxkhw/edit?usp=sharing"",""ฉะเชิงเทรา!J19"")"),0)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IFERROR(__xludf.DUMMYFUNCTION("IMPORTRANGE(""https://docs.google.com/spreadsheets/d/1SX6NBoVAgQJ6U1MVXOaj8PK2l7WJ3RER9xtqwdhxkhw/edit?usp=sharing"",""ฉะเชิงเทรา!I20"")"),0)</f>
        <v>0</v>
      </c>
      <c r="J80" s="201">
        <f ca="1">IFERROR(__xludf.DUMMYFUNCTION("IMPORTRANGE(""https://docs.google.com/spreadsheets/d/1SX6NBoVAgQJ6U1MVXOaj8PK2l7WJ3RER9xtqwdhxkhw/edit?usp=sharing"",""ฉะเชิงเทรา!J20"")"),0)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IFERROR(__xludf.DUMMYFUNCTION("IMPORTRANGE(""https://docs.google.com/spreadsheets/d/1SX6NBoVAgQJ6U1MVXOaj8PK2l7WJ3RER9xtqwdhxkhw/edit?usp=sharing"",""ฉะเชิงเทรา!I21"")"),0)</f>
        <v>0</v>
      </c>
      <c r="J81" s="201">
        <f ca="1">IFERROR(__xludf.DUMMYFUNCTION("IMPORTRANGE(""https://docs.google.com/spreadsheets/d/1SX6NBoVAgQJ6U1MVXOaj8PK2l7WJ3RER9xtqwdhxkhw/edit?usp=sharing"",""ฉะเชิงเทรา!J21"")"),0)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IFERROR(__xludf.DUMMYFUNCTION("IMPORTRANGE(""https://docs.google.com/spreadsheets/d/1SX6NBoVAgQJ6U1MVXOaj8PK2l7WJ3RER9xtqwdhxkhw/edit?usp=sharing"",""ฉะเชิงเทรา!I22"")"),0)</f>
        <v>0</v>
      </c>
      <c r="J82" s="204">
        <f ca="1">IFERROR(__xludf.DUMMYFUNCTION("IMPORTRANGE(""https://docs.google.com/spreadsheets/d/1SX6NBoVAgQJ6U1MVXOaj8PK2l7WJ3RER9xtqwdhxkhw/edit?usp=sharing"",""ฉะเชิงเทรา!J22"")"),0)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IFERROR(__xludf.DUMMYFUNCTION("IMPORTRANGE(""https://docs.google.com/spreadsheets/d/1SX6NBoVAgQJ6U1MVXOaj8PK2l7WJ3RER9xtqwdhxkhw/edit?usp=sharing"",""ฉะเชิงเทรา!I23"")"),0)</f>
        <v>0</v>
      </c>
      <c r="J83" s="204">
        <f ca="1">IFERROR(__xludf.DUMMYFUNCTION("IMPORTRANGE(""https://docs.google.com/spreadsheets/d/1SX6NBoVAgQJ6U1MVXOaj8PK2l7WJ3RER9xtqwdhxkhw/edit?usp=sharing"",""ฉะเชิงเทรา!J23"")"),0)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IFERROR(__xludf.DUMMYFUNCTION("IMPORTRANGE(""https://docs.google.com/spreadsheets/d/1SX6NBoVAgQJ6U1MVXOaj8PK2l7WJ3RER9xtqwdhxkhw/edit?usp=sharing"",""ฉะเชิงเทรา!I24"")"),0)</f>
        <v>0</v>
      </c>
      <c r="J84" s="189">
        <f ca="1">IFERROR(__xludf.DUMMYFUNCTION("IMPORTRANGE(""https://docs.google.com/spreadsheets/d/1SX6NBoVAgQJ6U1MVXOaj8PK2l7WJ3RER9xtqwdhxkhw/edit?usp=sharing"",""ฉะเชิงเทรา!J24"")"),0)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IFERROR(__xludf.DUMMYFUNCTION("IMPORTRANGE(""https://docs.google.com/spreadsheets/d/1SX6NBoVAgQJ6U1MVXOaj8PK2l7WJ3RER9xtqwdhxkhw/edit?usp=sharing"",""ฉะเชิงเทรา!I25"")"),0)</f>
        <v>0</v>
      </c>
      <c r="J85" s="189">
        <f ca="1">IFERROR(__xludf.DUMMYFUNCTION("IMPORTRANGE(""https://docs.google.com/spreadsheets/d/1SX6NBoVAgQJ6U1MVXOaj8PK2l7WJ3RER9xtqwdhxkhw/edit?usp=sharing"",""ฉะเชิงเทรา!J25"")"),0)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IFERROR(__xludf.DUMMYFUNCTION("IMPORTRANGE(""https://docs.google.com/spreadsheets/d/1SX6NBoVAgQJ6U1MVXOaj8PK2l7WJ3RER9xtqwdhxkhw/edit?usp=sharing"",""ฉะเชิงเทรา!I26"")"),0)</f>
        <v>0</v>
      </c>
      <c r="J86" s="204">
        <f ca="1">IFERROR(__xludf.DUMMYFUNCTION("IMPORTRANGE(""https://docs.google.com/spreadsheets/d/1SX6NBoVAgQJ6U1MVXOaj8PK2l7WJ3RER9xtqwdhxkhw/edit?usp=sharing"",""ฉะเชิงเทรา!J26"")"),0)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IFERROR(__xludf.DUMMYFUNCTION("IMPORTRANGE(""https://docs.google.com/spreadsheets/d/1SX6NBoVAgQJ6U1MVXOaj8PK2l7WJ3RER9xtqwdhxkhw/edit?usp=sharing"",""ฉะเชิงเทรา!I27"")"),0)</f>
        <v>0</v>
      </c>
      <c r="J87" s="204">
        <f ca="1">IFERROR(__xludf.DUMMYFUNCTION("IMPORTRANGE(""https://docs.google.com/spreadsheets/d/1SX6NBoVAgQJ6U1MVXOaj8PK2l7WJ3RER9xtqwdhxkhw/edit?usp=sharing"",""ฉะเชิงเทรา!J27"")"),0)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IFERROR(__xludf.DUMMYFUNCTION("IMPORTRANGE(""https://docs.google.com/spreadsheets/d/1SX6NBoVAgQJ6U1MVXOaj8PK2l7WJ3RER9xtqwdhxkhw/edit?usp=sharing"",""ฉะเชิงเทรา!I28"")"),0)</f>
        <v>0</v>
      </c>
      <c r="J88" s="204">
        <f ca="1">IFERROR(__xludf.DUMMYFUNCTION("IMPORTRANGE(""https://docs.google.com/spreadsheets/d/1SX6NBoVAgQJ6U1MVXOaj8PK2l7WJ3RER9xtqwdhxkhw/edit?usp=sharing"",""ฉะเชิงเทรา!J28"")"),0)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IFERROR(__xludf.DUMMYFUNCTION("IMPORTRANGE(""https://docs.google.com/spreadsheets/d/1SX6NBoVAgQJ6U1MVXOaj8PK2l7WJ3RER9xtqwdhxkhw/edit?usp=sharing"",""ฉะเชิงเทรา!J29"")"),0)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IFERROR(__xludf.DUMMYFUNCTION("IMPORTRANGE(""https://docs.google.com/spreadsheets/d/1SX6NBoVAgQJ6U1MVXOaj8PK2l7WJ3RER9xtqwdhxkhw/edit?usp=sharing"",""ฉะเชิงเทรา!J30"")"),0)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129170</v>
      </c>
      <c r="O94" s="151">
        <f t="shared" ref="O94:O96" ca="1" si="53">IF(L94&gt;0,N94*100/L94,0)</f>
        <v>60.219114219114218</v>
      </c>
      <c r="P94" s="151">
        <f t="shared" ref="P94:P96" ca="1" si="54">IF(M94&gt;0,N94*100/M94,0)</f>
        <v>66.426679694530861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129170</v>
      </c>
      <c r="O96" s="156">
        <f t="shared" ca="1" si="53"/>
        <v>60.219114219114218</v>
      </c>
      <c r="P96" s="156">
        <f t="shared" ca="1" si="54"/>
        <v>66.426679694530861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IFERROR(__xludf.DUMMYFUNCTION("IMPORTRANGE(""https://docs.google.com/spreadsheets/d/1Yj_ptqi66GCucihVvJfMjLAmec39IyEx_6qawtMGysU/edit?usp=sharing"",""สบก!AR61"")"),102055)</f>
        <v>102055</v>
      </c>
      <c r="N98" s="169">
        <f ca="1">IFERROR(__xludf.DUMMYFUNCTION("IMPORTRANGE(""https://docs.google.com/spreadsheets/d/1Yj_ptqi66GCucihVvJfMjLAmec39IyEx_6qawtMGysU/edit?usp=sharing"",""สบก!AS61"")"),36770)</f>
        <v>36770</v>
      </c>
      <c r="O98" s="169">
        <f ca="1">IF(L98&gt;0,N98*100/L98,0)</f>
        <v>30.114660114660115</v>
      </c>
      <c r="P98" s="169">
        <f ca="1">IF(M98&gt;0,N98*100/M98,0)</f>
        <v>36.029591886727744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IFERROR(__xludf.DUMMYFUNCTION("IMPORTRANGE(""https://docs.google.com/spreadsheets/d/1Yj_ptqi66GCucihVvJfMjLAmec39IyEx_6qawtMGysU/edit?usp=sharing"",""สบก!AO61"")"),122100)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IFERROR(__xludf.DUMMYFUNCTION("IMPORTRANGE(""https://docs.google.com/spreadsheets/d/1SX6NBoVAgQJ6U1MVXOaj8PK2l7WJ3RER9xtqwdhxkhw/edit?usp=sharing"",""ฉะเชิงเทรา!J39"")"),0)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IFERROR(__xludf.DUMMYFUNCTION("IMPORTRANGE(""https://docs.google.com/spreadsheets/d/1SX6NBoVAgQJ6U1MVXOaj8PK2l7WJ3RER9xtqwdhxkhw/edit?usp=sharing"",""ฉะเชิงเทรา!J40"")"),1)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IFERROR(__xludf.DUMMYFUNCTION("IMPORTRANGE(""https://docs.google.com/spreadsheets/d/1SX6NBoVAgQJ6U1MVXOaj8PK2l7WJ3RER9xtqwdhxkhw/edit?usp=sharing"",""ฉะเชิงเทรา!J41"")"),1)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IFERROR(__xludf.DUMMYFUNCTION("IMPORTRANGE(""https://docs.google.com/spreadsheets/d/1SX6NBoVAgQJ6U1MVXOaj8PK2l7WJ3RER9xtqwdhxkhw/edit?usp=sharing"",""ฉะเชิงเทรา!J42"")"),1)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IFERROR(__xludf.DUMMYFUNCTION("IMPORTRANGE(""https://docs.google.com/spreadsheets/d/1SX6NBoVAgQJ6U1MVXOaj8PK2l7WJ3RER9xtqwdhxkhw/edit?usp=sharing"",""ฉะเชิงเทรา!I43"")"),1)</f>
        <v>1</v>
      </c>
      <c r="J108" s="204">
        <f ca="1">IFERROR(__xludf.DUMMYFUNCTION("IMPORTRANGE(""https://docs.google.com/spreadsheets/d/1SX6NBoVAgQJ6U1MVXOaj8PK2l7WJ3RER9xtqwdhxkhw/edit?usp=sharing"",""ฉะเชิงเทรา!J43"")"),1)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IFERROR(__xludf.DUMMYFUNCTION("IMPORTRANGE(""https://docs.google.com/spreadsheets/d/1SX6NBoVAgQJ6U1MVXOaj8PK2l7WJ3RER9xtqwdhxkhw/edit?usp=sharing"",""ฉะเชิงเทรา!I44"")"),4)</f>
        <v>4</v>
      </c>
      <c r="J109" s="204">
        <f ca="1">IFERROR(__xludf.DUMMYFUNCTION("IMPORTRANGE(""https://docs.google.com/spreadsheets/d/1SX6NBoVAgQJ6U1MVXOaj8PK2l7WJ3RER9xtqwdhxkhw/edit?usp=sharing"",""ฉะเชิงเทรา!J44"")"),4)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IFERROR(__xludf.DUMMYFUNCTION("IMPORTRANGE(""https://docs.google.com/spreadsheets/d/1SX6NBoVAgQJ6U1MVXOaj8PK2l7WJ3RER9xtqwdhxkhw/edit?usp=sharing"",""ฉะเชิงเทรา!I45"")"),4)</f>
        <v>4</v>
      </c>
      <c r="J110" s="204">
        <f ca="1">IFERROR(__xludf.DUMMYFUNCTION("IMPORTRANGE(""https://docs.google.com/spreadsheets/d/1SX6NBoVAgQJ6U1MVXOaj8PK2l7WJ3RER9xtqwdhxkhw/edit?usp=sharing"",""ฉะเชิงเทรา!J45"")"),4)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IFERROR(__xludf.DUMMYFUNCTION("IMPORTRANGE(""https://docs.google.com/spreadsheets/d/1SX6NBoVAgQJ6U1MVXOaj8PK2l7WJ3RER9xtqwdhxkhw/edit?usp=sharing"",""ฉะเชิงเทรา!I46"")"),4)</f>
        <v>4</v>
      </c>
      <c r="J111" s="204">
        <f ca="1">IFERROR(__xludf.DUMMYFUNCTION("IMPORTRANGE(""https://docs.google.com/spreadsheets/d/1SX6NBoVAgQJ6U1MVXOaj8PK2l7WJ3RER9xtqwdhxkhw/edit?usp=sharing"",""ฉะเชิงเทรา!J46"")"),4)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IFERROR(__xludf.DUMMYFUNCTION("IMPORTRANGE(""https://docs.google.com/spreadsheets/d/1SX6NBoVAgQJ6U1MVXOaj8PK2l7WJ3RER9xtqwdhxkhw/edit?usp=sharing"",""ฉะเชิงเทรา!I47"")"),4)</f>
        <v>4</v>
      </c>
      <c r="J112" s="204">
        <f ca="1">IFERROR(__xludf.DUMMYFUNCTION("IMPORTRANGE(""https://docs.google.com/spreadsheets/d/1SX6NBoVAgQJ6U1MVXOaj8PK2l7WJ3RER9xtqwdhxkhw/edit?usp=sharing"",""ฉะเชิงเทรา!J47"")"),4)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IFERROR(__xludf.DUMMYFUNCTION("IMPORTRANGE(""https://docs.google.com/spreadsheets/d/1SX6NBoVAgQJ6U1MVXOaj8PK2l7WJ3RER9xtqwdhxkhw/edit?usp=sharing"",""ฉะเชิงเทรา!I48"")"),1)</f>
        <v>1</v>
      </c>
      <c r="J113" s="204">
        <f ca="1">IFERROR(__xludf.DUMMYFUNCTION("IMPORTRANGE(""https://docs.google.com/spreadsheets/d/1SX6NBoVAgQJ6U1MVXOaj8PK2l7WJ3RER9xtqwdhxkhw/edit?usp=sharing"",""ฉะเชิงเทรา!J48"")"),1)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IFERROR(__xludf.DUMMYFUNCTION("IMPORTRANGE(""https://docs.google.com/spreadsheets/d/1SX6NBoVAgQJ6U1MVXOaj8PK2l7WJ3RER9xtqwdhxkhw/edit?usp=sharing"",""ฉะเชิงเทรา!J49"")"),0)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IFERROR(__xludf.DUMMYFUNCTION("IMPORTRANGE(""https://docs.google.com/spreadsheets/d/1SX6NBoVAgQJ6U1MVXOaj8PK2l7WJ3RER9xtqwdhxkhw/edit?usp=sharing"",""ฉะเชิงเทรา!J50"")"),0)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69420</v>
      </c>
      <c r="O118" s="151">
        <f t="shared" ref="O118:O120" ca="1" si="59">IF(L118&gt;0,N118*100/L118,0)</f>
        <v>84.206695778748184</v>
      </c>
      <c r="P118" s="151">
        <f t="shared" ref="P118:P120" ca="1" si="60">IF(M118&gt;0,N118*100/M118,0)</f>
        <v>84.206695778748184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69420</v>
      </c>
      <c r="O120" s="156">
        <f t="shared" ca="1" si="59"/>
        <v>84.206695778748184</v>
      </c>
      <c r="P120" s="156">
        <f t="shared" ca="1" si="60"/>
        <v>84.206695778748184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IFERROR(__xludf.DUMMYFUNCTION("IMPORTRANGE(""https://docs.google.com/spreadsheets/d/1Yj_ptqi66GCucihVvJfMjLAmec39IyEx_6qawtMGysU/edit?usp=sharing"",""สบก!BA61"")"),82440)</f>
        <v>82440</v>
      </c>
      <c r="N122" s="169">
        <f ca="1">IFERROR(__xludf.DUMMYFUNCTION("IMPORTRANGE(""https://docs.google.com/spreadsheets/d/1Yj_ptqi66GCucihVvJfMjLAmec39IyEx_6qawtMGysU/edit?usp=sharing"",""สบก!BB61"")"),69420)</f>
        <v>69420</v>
      </c>
      <c r="O122" s="169">
        <f ca="1">IF(L122&gt;0,N122*100/L122,0)</f>
        <v>84.206695778748184</v>
      </c>
      <c r="P122" s="169">
        <f ca="1">IF(M122&gt;0,N122*100/M122,0)</f>
        <v>84.206695778748184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IFERROR(__xludf.DUMMYFUNCTION("IMPORTRANGE(""https://docs.google.com/spreadsheets/d/1Yj_ptqi66GCucihVvJfMjLAmec39IyEx_6qawtMGysU/edit?usp=sharing"",""สบก!AX61"")"),82440)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IFERROR(__xludf.DUMMYFUNCTION("IMPORTRANGE(""https://docs.google.com/spreadsheets/d/1SX6NBoVAgQJ6U1MVXOaj8PK2l7WJ3RER9xtqwdhxkhw/edit?usp=sharing"",""ฉะเชิงเทรา!J58"")"),0)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IFERROR(__xludf.DUMMYFUNCTION("IMPORTRANGE(""https://docs.google.com/spreadsheets/d/1SX6NBoVAgQJ6U1MVXOaj8PK2l7WJ3RER9xtqwdhxkhw/edit?usp=sharing"",""ฉะเชิงเทรา!J59"")"),1)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IFERROR(__xludf.DUMMYFUNCTION("IMPORTRANGE(""https://docs.google.com/spreadsheets/d/1SX6NBoVAgQJ6U1MVXOaj8PK2l7WJ3RER9xtqwdhxkhw/edit?usp=sharing"",""ฉะเชิงเทรา!J60"")"),1)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IFERROR(__xludf.DUMMYFUNCTION("IMPORTRANGE(""https://docs.google.com/spreadsheets/d/1SX6NBoVAgQJ6U1MVXOaj8PK2l7WJ3RER9xtqwdhxkhw/edit?usp=sharing"",""ฉะเชิงเทรา!J61"")"),1)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IFERROR(__xludf.DUMMYFUNCTION("IMPORTRANGE(""https://docs.google.com/spreadsheets/d/1SX6NBoVAgQJ6U1MVXOaj8PK2l7WJ3RER9xtqwdhxkhw/edit?usp=sharing"",""ฉะเชิงเทรา!I62"")"),20)</f>
        <v>20</v>
      </c>
      <c r="J132" s="204">
        <f ca="1">IFERROR(__xludf.DUMMYFUNCTION("IMPORTRANGE(""https://docs.google.com/spreadsheets/d/1SX6NBoVAgQJ6U1MVXOaj8PK2l7WJ3RER9xtqwdhxkhw/edit?usp=sharing"",""ฉะเชิงเทรา!J62"")"),20)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IFERROR(__xludf.DUMMYFUNCTION("IMPORTRANGE(""https://docs.google.com/spreadsheets/d/1SX6NBoVAgQJ6U1MVXOaj8PK2l7WJ3RER9xtqwdhxkhw/edit?usp=sharing"",""ฉะเชิงเทรา!I63"")"),20)</f>
        <v>20</v>
      </c>
      <c r="J133" s="204">
        <f ca="1">IFERROR(__xludf.DUMMYFUNCTION("IMPORTRANGE(""https://docs.google.com/spreadsheets/d/1SX6NBoVAgQJ6U1MVXOaj8PK2l7WJ3RER9xtqwdhxkhw/edit?usp=sharing"",""ฉะเชิงเทรา!J63"")"),20)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IFERROR(__xludf.DUMMYFUNCTION("IMPORTRANGE(""https://docs.google.com/spreadsheets/d/1SX6NBoVAgQJ6U1MVXOaj8PK2l7WJ3RER9xtqwdhxkhw/edit?usp=sharing"",""ฉะเชิงเทรา!J64"")"),1)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IFERROR(__xludf.DUMMYFUNCTION("IMPORTRANGE(""https://docs.google.com/spreadsheets/d/1SX6NBoVAgQJ6U1MVXOaj8PK2l7WJ3RER9xtqwdhxkhw/edit?usp=sharing"",""ฉะเชิงเทรา!J65"")"),0)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IFERROR(__xludf.DUMMYFUNCTION("IMPORTRANGE(""https://docs.google.com/spreadsheets/d/1SX6NBoVAgQJ6U1MVXOaj8PK2l7WJ3RER9xtqwdhxkhw/edit?usp=sharing"",""ฉะเชิงเทรา!I68"")"),95)</f>
        <v>95</v>
      </c>
      <c r="J138" s="268">
        <f ca="1">IFERROR(__xludf.DUMMYFUNCTION("IMPORTRANGE(""https://docs.google.com/spreadsheets/d/1SX6NBoVAgQJ6U1MVXOaj8PK2l7WJ3RER9xtqwdhxkhw/edit?usp=sharing"",""ฉะเชิงเทรา!J68"")"),95)</f>
        <v>95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842400</v>
      </c>
      <c r="M140" s="152">
        <f t="shared" ca="1" si="64"/>
        <v>688125</v>
      </c>
      <c r="N140" s="152">
        <f t="shared" ca="1" si="64"/>
        <v>631311.54</v>
      </c>
      <c r="O140" s="151">
        <f t="shared" ref="O140:O142" ca="1" si="65">IF(L140&gt;0,N140*100/L140,0)</f>
        <v>74.942015669515669</v>
      </c>
      <c r="P140" s="151">
        <f t="shared" ref="P140:P142" ca="1" si="66">IF(M140&gt;0,N140*100/M140,0)</f>
        <v>91.743729700272482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842400</v>
      </c>
      <c r="M142" s="157">
        <f t="shared" ca="1" si="68"/>
        <v>688125</v>
      </c>
      <c r="N142" s="157">
        <f t="shared" ca="1" si="68"/>
        <v>631311.54</v>
      </c>
      <c r="O142" s="156">
        <f t="shared" ca="1" si="65"/>
        <v>74.942015669515669</v>
      </c>
      <c r="P142" s="156">
        <f t="shared" ca="1" si="66"/>
        <v>91.743729700272482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842400</v>
      </c>
      <c r="M144" s="168">
        <f ca="1">IFERROR(__xludf.DUMMYFUNCTION("IMPORTRANGE(""https://docs.google.com/spreadsheets/d/1Yj_ptqi66GCucihVvJfMjLAmec39IyEx_6qawtMGysU/edit?usp=sharing"",""สบก!BJ61"")"),688125)</f>
        <v>688125</v>
      </c>
      <c r="N144" s="169">
        <f ca="1">IFERROR(__xludf.DUMMYFUNCTION("IMPORTRANGE(""https://docs.google.com/spreadsheets/d/1Yj_ptqi66GCucihVvJfMjLAmec39IyEx_6qawtMGysU/edit?usp=sharing"",""สบก!BK61"")"),631311.54)</f>
        <v>631311.54</v>
      </c>
      <c r="O144" s="169">
        <f ca="1">IF(L144&gt;0,N144*100/L144,0)</f>
        <v>74.942015669515669</v>
      </c>
      <c r="P144" s="169">
        <f ca="1">IF(M144&gt;0,N144*100/M144,0)</f>
        <v>91.743729700272482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IFERROR(__xludf.DUMMYFUNCTION("IMPORTRANGE(""https://docs.google.com/spreadsheets/d/1Yj_ptqi66GCucihVvJfMjLAmec39IyEx_6qawtMGysU/edit?usp=sharing"",""สบก!BF61"")"),311500)</f>
        <v>311500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IFERROR(__xludf.DUMMYFUNCTION("IMPORTRANGE(""https://docs.google.com/spreadsheets/d/1Yj_ptqi66GCucihVvJfMjLAmec39IyEx_6qawtMGysU/edit?usp=sharing"",""สบก!BG61"")"),530900)</f>
        <v>530900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IFERROR(__xludf.DUMMYFUNCTION("IMPORTRANGE(""https://docs.google.com/spreadsheets/d/1SX6NBoVAgQJ6U1MVXOaj8PK2l7WJ3RER9xtqwdhxkhw/edit?usp=sharing"",""ฉะเชิงเทรา!I74"")"),4)</f>
        <v>4</v>
      </c>
      <c r="J149" s="276">
        <f ca="1">IFERROR(__xludf.DUMMYFUNCTION("IMPORTRANGE(""https://docs.google.com/spreadsheets/d/1SX6NBoVAgQJ6U1MVXOaj8PK2l7WJ3RER9xtqwdhxkhw/edit?usp=sharing"",""ฉะเชิงเทรา!J74"")"),2)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IFERROR(__xludf.DUMMYFUNCTION("IMPORTRANGE(""https://docs.google.com/spreadsheets/d/1SX6NBoVAgQJ6U1MVXOaj8PK2l7WJ3RER9xtqwdhxkhw/edit?usp=sharing"",""ฉะเชิงเทรา!J79"")"),0)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IFERROR(__xludf.DUMMYFUNCTION("IMPORTRANGE(""https://docs.google.com/spreadsheets/d/1SX6NBoVAgQJ6U1MVXOaj8PK2l7WJ3RER9xtqwdhxkhw/edit?usp=sharing"",""ฉะเชิงเทรา!J80"")"),1)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IFERROR(__xludf.DUMMYFUNCTION("IMPORTRANGE(""https://docs.google.com/spreadsheets/d/1SX6NBoVAgQJ6U1MVXOaj8PK2l7WJ3RER9xtqwdhxkhw/edit?usp=sharing"",""ฉะเชิงเทรา!J81"")"),1)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IFERROR(__xludf.DUMMYFUNCTION("IMPORTRANGE(""https://docs.google.com/spreadsheets/d/1SX6NBoVAgQJ6U1MVXOaj8PK2l7WJ3RER9xtqwdhxkhw/edit?usp=sharing"",""ฉะเชิงเทรา!J82"")"),1)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IFERROR(__xludf.DUMMYFUNCTION("IMPORTRANGE(""https://docs.google.com/spreadsheets/d/1SX6NBoVAgQJ6U1MVXOaj8PK2l7WJ3RER9xtqwdhxkhw/edit?usp=sharing"",""ฉะเชิงเทรา!I83"")"),4)</f>
        <v>4</v>
      </c>
      <c r="J158" s="189">
        <f ca="1">IFERROR(__xludf.DUMMYFUNCTION("IMPORTRANGE(""https://docs.google.com/spreadsheets/d/1SX6NBoVAgQJ6U1MVXOaj8PK2l7WJ3RER9xtqwdhxkhw/edit?usp=sharing"",""ฉะเชิงเทรา!J83"")"),2)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IFERROR(__xludf.DUMMYFUNCTION("IMPORTRANGE(""https://docs.google.com/spreadsheets/d/1SX6NBoVAgQJ6U1MVXOaj8PK2l7WJ3RER9xtqwdhxkhw/edit?usp=sharing"",""ฉะเชิงเทรา!J84"")"),76)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IFERROR(__xludf.DUMMYFUNCTION("IMPORTRANGE(""https://docs.google.com/spreadsheets/d/1SX6NBoVAgQJ6U1MVXOaj8PK2l7WJ3RER9xtqwdhxkhw/edit?usp=sharing"",""ฉะเชิงเทรา!J85"")"),76)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IFERROR(__xludf.DUMMYFUNCTION("IMPORTRANGE(""https://docs.google.com/spreadsheets/d/1SX6NBoVAgQJ6U1MVXOaj8PK2l7WJ3RER9xtqwdhxkhw/edit?usp=sharing"",""ฉะเชิงเทรา!J86"")"),0)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IFERROR(__xludf.DUMMYFUNCTION("IMPORTRANGE(""https://docs.google.com/spreadsheets/d/1SX6NBoVAgQJ6U1MVXOaj8PK2l7WJ3RER9xtqwdhxkhw/edit?usp=sharing"",""ฉะเชิงเทรา!J87"")"),0)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IFERROR(__xludf.DUMMYFUNCTION("IMPORTRANGE(""https://docs.google.com/spreadsheets/d/1SX6NBoVAgQJ6U1MVXOaj8PK2l7WJ3RER9xtqwdhxkhw/edit?usp=sharing"",""ฉะเชิงเทรา!J88"")"),0)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IFERROR(__xludf.DUMMYFUNCTION("IMPORTRANGE(""https://docs.google.com/spreadsheets/d/1SX6NBoVAgQJ6U1MVXOaj8PK2l7WJ3RER9xtqwdhxkhw/edit?usp=sharing"",""ฉะเชิงเทรา!I89"")"),4)</f>
        <v>4</v>
      </c>
      <c r="J164" s="285">
        <f ca="1">IFERROR(__xludf.DUMMYFUNCTION("IMPORTRANGE(""https://docs.google.com/spreadsheets/d/1SX6NBoVAgQJ6U1MVXOaj8PK2l7WJ3RER9xtqwdhxkhw/edit?usp=sharing"",""ฉะเชิงเทรา!J89"")"),4)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IFERROR(__xludf.DUMMYFUNCTION("IMPORTRANGE(""https://docs.google.com/spreadsheets/d/1SX6NBoVAgQJ6U1MVXOaj8PK2l7WJ3RER9xtqwdhxkhw/edit?usp=sharing"",""ฉะเชิงเทรา!J94"")"),0)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IFERROR(__xludf.DUMMYFUNCTION("IMPORTRANGE(""https://docs.google.com/spreadsheets/d/1SX6NBoVAgQJ6U1MVXOaj8PK2l7WJ3RER9xtqwdhxkhw/edit?usp=sharing"",""ฉะเชิงเทรา!J95"")"),0)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IFERROR(__xludf.DUMMYFUNCTION("IMPORTRANGE(""https://docs.google.com/spreadsheets/d/1SX6NBoVAgQJ6U1MVXOaj8PK2l7WJ3RER9xtqwdhxkhw/edit?usp=sharing"",""ฉะเชิงเทรา!J96"")"),0)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IFERROR(__xludf.DUMMYFUNCTION("IMPORTRANGE(""https://docs.google.com/spreadsheets/d/1SX6NBoVAgQJ6U1MVXOaj8PK2l7WJ3RER9xtqwdhxkhw/edit?usp=sharing"",""ฉะเชิงเทรา!J97"")"),0)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IFERROR(__xludf.DUMMYFUNCTION("IMPORTRANGE(""https://docs.google.com/spreadsheets/d/1SX6NBoVAgQJ6U1MVXOaj8PK2l7WJ3RER9xtqwdhxkhw/edit?usp=sharing"",""ฉะเชิงเทรา!I98"")"),4)</f>
        <v>4</v>
      </c>
      <c r="J173" s="189">
        <f ca="1">IFERROR(__xludf.DUMMYFUNCTION("IMPORTRANGE(""https://docs.google.com/spreadsheets/d/1SX6NBoVAgQJ6U1MVXOaj8PK2l7WJ3RER9xtqwdhxkhw/edit?usp=sharing"",""ฉะเชิงเทรา!J98"")"),4)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IFERROR(__xludf.DUMMYFUNCTION("IMPORTRANGE(""https://docs.google.com/spreadsheets/d/1SX6NBoVAgQJ6U1MVXOaj8PK2l7WJ3RER9xtqwdhxkhw/edit?usp=sharing"",""ฉะเชิงเทรา!J99"")"),0)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IFERROR(__xludf.DUMMYFUNCTION("IMPORTRANGE(""https://docs.google.com/spreadsheets/d/1SX6NBoVAgQJ6U1MVXOaj8PK2l7WJ3RER9xtqwdhxkhw/edit?usp=sharing"",""ฉะเชิงเทรา!J100"")"),1)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IFERROR(__xludf.DUMMYFUNCTION("IMPORTRANGE(""https://docs.google.com/spreadsheets/d/1SX6NBoVAgQJ6U1MVXOaj8PK2l7WJ3RER9xtqwdhxkhw/edit?usp=sharing"",""ฉะเชิงเทรา!I101"")"),3)</f>
        <v>3</v>
      </c>
      <c r="J176" s="285">
        <f ca="1">IFERROR(__xludf.DUMMYFUNCTION("IMPORTRANGE(""https://docs.google.com/spreadsheets/d/1SX6NBoVAgQJ6U1MVXOaj8PK2l7WJ3RER9xtqwdhxkhw/edit?usp=sharing"",""ฉะเชิงเทรา!J101"")"),3)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IFERROR(__xludf.DUMMYFUNCTION("IMPORTRANGE(""https://docs.google.com/spreadsheets/d/1SX6NBoVAgQJ6U1MVXOaj8PK2l7WJ3RER9xtqwdhxkhw/edit?usp=sharing"",""ฉะเชิงเทรา!J106"")"),0)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IFERROR(__xludf.DUMMYFUNCTION("IMPORTRANGE(""https://docs.google.com/spreadsheets/d/1SX6NBoVAgQJ6U1MVXOaj8PK2l7WJ3RER9xtqwdhxkhw/edit?usp=sharing"",""ฉะเชิงเทรา!J107"")"),1)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IFERROR(__xludf.DUMMYFUNCTION("IMPORTRANGE(""https://docs.google.com/spreadsheets/d/1SX6NBoVAgQJ6U1MVXOaj8PK2l7WJ3RER9xtqwdhxkhw/edit?usp=sharing"",""ฉะเชิงเทรา!J108"")"),1)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IFERROR(__xludf.DUMMYFUNCTION("IMPORTRANGE(""https://docs.google.com/spreadsheets/d/1SX6NBoVAgQJ6U1MVXOaj8PK2l7WJ3RER9xtqwdhxkhw/edit?usp=sharing"",""ฉะเชิงเทรา!J109"")"),1)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IFERROR(__xludf.DUMMYFUNCTION("IMPORTRANGE(""https://docs.google.com/spreadsheets/d/1SX6NBoVAgQJ6U1MVXOaj8PK2l7WJ3RER9xtqwdhxkhw/edit?usp=sharing"",""ฉะเชิงเทรา!I110"")"),3)</f>
        <v>3</v>
      </c>
      <c r="J185" s="204">
        <f ca="1">IFERROR(__xludf.DUMMYFUNCTION("IMPORTRANGE(""https://docs.google.com/spreadsheets/d/1SX6NBoVAgQJ6U1MVXOaj8PK2l7WJ3RER9xtqwdhxkhw/edit?usp=sharing"",""ฉะเชิงเทรา!J110"")"),3)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IFERROR(__xludf.DUMMYFUNCTION("IMPORTRANGE(""https://docs.google.com/spreadsheets/d/1SX6NBoVAgQJ6U1MVXOaj8PK2l7WJ3RER9xtqwdhxkhw/edit?usp=sharing"",""ฉะเชิงเทรา!I111"")"),3)</f>
        <v>3</v>
      </c>
      <c r="J186" s="204">
        <f ca="1">IFERROR(__xludf.DUMMYFUNCTION("IMPORTRANGE(""https://docs.google.com/spreadsheets/d/1SX6NBoVAgQJ6U1MVXOaj8PK2l7WJ3RER9xtqwdhxkhw/edit?usp=sharing"",""ฉะเชิงเทรา!J111"")"),3)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IFERROR(__xludf.DUMMYFUNCTION("IMPORTRANGE(""https://docs.google.com/spreadsheets/d/1SX6NBoVAgQJ6U1MVXOaj8PK2l7WJ3RER9xtqwdhxkhw/edit?usp=sharing"",""ฉะเชิงเทรา!J112"")"),0)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IFERROR(__xludf.DUMMYFUNCTION("IMPORTRANGE(""https://docs.google.com/spreadsheets/d/1SX6NBoVAgQJ6U1MVXOaj8PK2l7WJ3RER9xtqwdhxkhw/edit?usp=sharing"",""ฉะเชิงเทรา!J113"")"),0)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IFERROR(__xludf.DUMMYFUNCTION("IMPORTRANGE(""https://docs.google.com/spreadsheets/d/1SX6NBoVAgQJ6U1MVXOaj8PK2l7WJ3RER9xtqwdhxkhw/edit?usp=sharing"",""ฉะเชิงเทรา!I114"")"),40000)</f>
        <v>40000</v>
      </c>
      <c r="J189" s="285">
        <f ca="1">IFERROR(__xludf.DUMMYFUNCTION("IMPORTRANGE(""https://docs.google.com/spreadsheets/d/1SX6NBoVAgQJ6U1MVXOaj8PK2l7WJ3RER9xtqwdhxkhw/edit?usp=sharing"",""ฉะเชิงเทรา!J114"")"),0)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IFERROR(__xludf.DUMMYFUNCTION("IMPORTRANGE(""https://docs.google.com/spreadsheets/d/1SX6NBoVAgQJ6U1MVXOaj8PK2l7WJ3RER9xtqwdhxkhw/edit?usp=sharing"",""ฉะเชิงเทรา!J119"")"),0)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IFERROR(__xludf.DUMMYFUNCTION("IMPORTRANGE(""https://docs.google.com/spreadsheets/d/1SX6NBoVAgQJ6U1MVXOaj8PK2l7WJ3RER9xtqwdhxkhw/edit?usp=sharing"",""ฉะเชิงเทรา!J120"")"),1)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IFERROR(__xludf.DUMMYFUNCTION("IMPORTRANGE(""https://docs.google.com/spreadsheets/d/1SX6NBoVAgQJ6U1MVXOaj8PK2l7WJ3RER9xtqwdhxkhw/edit?usp=sharing"",""ฉะเชิงเทรา!J121"")"),1)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IFERROR(__xludf.DUMMYFUNCTION("IMPORTRANGE(""https://docs.google.com/spreadsheets/d/1SX6NBoVAgQJ6U1MVXOaj8PK2l7WJ3RER9xtqwdhxkhw/edit?usp=sharing"",""ฉะเชิงเทรา!J122"")"),1)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IFERROR(__xludf.DUMMYFUNCTION("IMPORTRANGE(""https://docs.google.com/spreadsheets/d/1SX6NBoVAgQJ6U1MVXOaj8PK2l7WJ3RER9xtqwdhxkhw/edit?usp=sharing"",""ฉะเชิงเทรา!I124"")"),40000)</f>
        <v>40000</v>
      </c>
      <c r="J199" s="189">
        <f ca="1">IFERROR(__xludf.DUMMYFUNCTION("IMPORTRANGE(""https://docs.google.com/spreadsheets/d/1SX6NBoVAgQJ6U1MVXOaj8PK2l7WJ3RER9xtqwdhxkhw/edit?usp=sharing"",""ฉะเชิงเทรา!J124"")"),40000)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IFERROR(__xludf.DUMMYFUNCTION("IMPORTRANGE(""https://docs.google.com/spreadsheets/d/1SX6NBoVAgQJ6U1MVXOaj8PK2l7WJ3RER9xtqwdhxkhw/edit?usp=sharing"",""ฉะเชิงเทรา!I125"")"),40000)</f>
        <v>40000</v>
      </c>
      <c r="J200" s="189">
        <f ca="1">IFERROR(__xludf.DUMMYFUNCTION("IMPORTRANGE(""https://docs.google.com/spreadsheets/d/1SX6NBoVAgQJ6U1MVXOaj8PK2l7WJ3RER9xtqwdhxkhw/edit?usp=sharing"",""ฉะเชิงเทรา!J125"")"),0)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IFERROR(__xludf.DUMMYFUNCTION("IMPORTRANGE(""https://docs.google.com/spreadsheets/d/1SX6NBoVAgQJ6U1MVXOaj8PK2l7WJ3RER9xtqwdhxkhw/edit?usp=sharing"",""ฉะเชิงเทรา!I126"")"),15)</f>
        <v>15</v>
      </c>
      <c r="J201" s="189">
        <f ca="1">IFERROR(__xludf.DUMMYFUNCTION("IMPORTRANGE(""https://docs.google.com/spreadsheets/d/1SX6NBoVAgQJ6U1MVXOaj8PK2l7WJ3RER9xtqwdhxkhw/edit?usp=sharing"",""ฉะเชิงเทรา!J126"")"),15)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IFERROR(__xludf.DUMMYFUNCTION("IMPORTRANGE(""https://docs.google.com/spreadsheets/d/1SX6NBoVAgQJ6U1MVXOaj8PK2l7WJ3RER9xtqwdhxkhw/edit?usp=sharing"",""ฉะเชิงเทรา!J127"")"),0)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IFERROR(__xludf.DUMMYFUNCTION("IMPORTRANGE(""https://docs.google.com/spreadsheets/d/1SX6NBoVAgQJ6U1MVXOaj8PK2l7WJ3RER9xtqwdhxkhw/edit?usp=sharing"",""ฉะเชิงเทรา!J128"")"),0)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IFERROR(__xludf.DUMMYFUNCTION("IMPORTRANGE(""https://docs.google.com/spreadsheets/d/1SX6NBoVAgQJ6U1MVXOaj8PK2l7WJ3RER9xtqwdhxkhw/edit?usp=sharing"",""ฉะเชิงเทรา!I129"")"),80)</f>
        <v>80</v>
      </c>
      <c r="J204" s="285">
        <f ca="1">IFERROR(__xludf.DUMMYFUNCTION("IMPORTRANGE(""https://docs.google.com/spreadsheets/d/1SX6NBoVAgQJ6U1MVXOaj8PK2l7WJ3RER9xtqwdhxkhw/edit?usp=sharing"",""ฉะเชิงเทรา!J129"")"),80)</f>
        <v>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IFERROR(__xludf.DUMMYFUNCTION("IMPORTRANGE(""https://docs.google.com/spreadsheets/d/1SX6NBoVAgQJ6U1MVXOaj8PK2l7WJ3RER9xtqwdhxkhw/edit?usp=sharing"",""ฉะเชิงเทรา!J134"")"),0)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IFERROR(__xludf.DUMMYFUNCTION("IMPORTRANGE(""https://docs.google.com/spreadsheets/d/1SX6NBoVAgQJ6U1MVXOaj8PK2l7WJ3RER9xtqwdhxkhw/edit?usp=sharing"",""ฉะเชิงเทรา!J135"")"),1)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IFERROR(__xludf.DUMMYFUNCTION("IMPORTRANGE(""https://docs.google.com/spreadsheets/d/1SX6NBoVAgQJ6U1MVXOaj8PK2l7WJ3RER9xtqwdhxkhw/edit?usp=sharing"",""ฉะเชิงเทรา!J136"")"),1)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IFERROR(__xludf.DUMMYFUNCTION("IMPORTRANGE(""https://docs.google.com/spreadsheets/d/1SX6NBoVAgQJ6U1MVXOaj8PK2l7WJ3RER9xtqwdhxkhw/edit?usp=sharing"",""ฉะเชิงเทรา!J137"")"),1)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IFERROR(__xludf.DUMMYFUNCTION("IMPORTRANGE(""https://docs.google.com/spreadsheets/d/1SX6NBoVAgQJ6U1MVXOaj8PK2l7WJ3RER9xtqwdhxkhw/edit?usp=sharing"",""ฉะเชิงเทรา!I138"")"),80)</f>
        <v>80</v>
      </c>
      <c r="J213" s="204">
        <f ca="1">IFERROR(__xludf.DUMMYFUNCTION("IMPORTRANGE(""https://docs.google.com/spreadsheets/d/1SX6NBoVAgQJ6U1MVXOaj8PK2l7WJ3RER9xtqwdhxkhw/edit?usp=sharing"",""ฉะเชิงเทรา!J138"")"),80)</f>
        <v>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IFERROR(__xludf.DUMMYFUNCTION("IMPORTRANGE(""https://docs.google.com/spreadsheets/d/1SX6NBoVAgQJ6U1MVXOaj8PK2l7WJ3RER9xtqwdhxkhw/edit?usp=sharing"",""ฉะเชิงเทรา!I140"")"),40)</f>
        <v>40</v>
      </c>
      <c r="J215" s="204">
        <f ca="1">IFERROR(__xludf.DUMMYFUNCTION("IMPORTRANGE(""https://docs.google.com/spreadsheets/d/1SX6NBoVAgQJ6U1MVXOaj8PK2l7WJ3RER9xtqwdhxkhw/edit?usp=sharing"",""ฉะเชิงเทรา!J140"")"),40)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IFERROR(__xludf.DUMMYFUNCTION("IMPORTRANGE(""https://docs.google.com/spreadsheets/d/1SX6NBoVAgQJ6U1MVXOaj8PK2l7WJ3RER9xtqwdhxkhw/edit?usp=sharing"",""ฉะเชิงเทรา!I141"")"),1)</f>
        <v>1</v>
      </c>
      <c r="J216" s="204">
        <f ca="1">IFERROR(__xludf.DUMMYFUNCTION("IMPORTRANGE(""https://docs.google.com/spreadsheets/d/1SX6NBoVAgQJ6U1MVXOaj8PK2l7WJ3RER9xtqwdhxkhw/edit?usp=sharing"",""ฉะเชิงเทรา!J141"")"),1)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IFERROR(__xludf.DUMMYFUNCTION("IMPORTRANGE(""https://docs.google.com/spreadsheets/d/1SX6NBoVAgQJ6U1MVXOaj8PK2l7WJ3RER9xtqwdhxkhw/edit?usp=sharing"",""ฉะเชิงเทรา!J142"")"),0)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IFERROR(__xludf.DUMMYFUNCTION("IMPORTRANGE(""https://docs.google.com/spreadsheets/d/1SX6NBoVAgQJ6U1MVXOaj8PK2l7WJ3RER9xtqwdhxkhw/edit?usp=sharing"",""ฉะเชิงเทรา!J143"")"),0)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IFERROR(__xludf.DUMMYFUNCTION("IMPORTRANGE(""https://docs.google.com/spreadsheets/d/1SX6NBoVAgQJ6U1MVXOaj8PK2l7WJ3RER9xtqwdhxkhw/edit?usp=sharing"",""ฉะเชิงเทรา!I144"")"),15)</f>
        <v>15</v>
      </c>
      <c r="J219" s="268">
        <f ca="1">IFERROR(__xludf.DUMMYFUNCTION("IMPORTRANGE(""https://docs.google.com/spreadsheets/d/1SX6NBoVAgQJ6U1MVXOaj8PK2l7WJ3RER9xtqwdhxkhw/edit?usp=sharing"",""ฉะเชิงเทรา!J144"")"),15)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IFERROR(__xludf.DUMMYFUNCTION("IMPORTRANGE(""https://docs.google.com/spreadsheets/d/1Yj_ptqi66GCucihVvJfMjLAmec39IyEx_6qawtMGysU/edit?usp=sharing"",""สบก!BS61"")"),21125)</f>
        <v>21125</v>
      </c>
      <c r="N224" s="169">
        <f ca="1">IFERROR(__xludf.DUMMYFUNCTION("IMPORTRANGE(""https://docs.google.com/spreadsheets/d/1Yj_ptqi66GCucihVvJfMjLAmec39IyEx_6qawtMGysU/edit?usp=sharing"",""สบก!BT61"")"),21125)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IFERROR(__xludf.DUMMYFUNCTION("IMPORTRANGE(""https://docs.google.com/spreadsheets/d/1Yj_ptqi66GCucihVvJfMjLAmec39IyEx_6qawtMGysU/edit?usp=sharing"",""สบก!BP61"")"),21125)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IFERROR(__xludf.DUMMYFUNCTION("IMPORTRANGE(""https://docs.google.com/spreadsheets/d/1SX6NBoVAgQJ6U1MVXOaj8PK2l7WJ3RER9xtqwdhxkhw/edit?usp=sharing"",""ฉะเชิงเทรา!I149"")"),15)</f>
        <v>15</v>
      </c>
      <c r="J229" s="268">
        <f ca="1">IFERROR(__xludf.DUMMYFUNCTION("IMPORTRANGE(""https://docs.google.com/spreadsheets/d/1SX6NBoVAgQJ6U1MVXOaj8PK2l7WJ3RER9xtqwdhxkhw/edit?usp=sharing"",""ฉะเชิงเทรา!J149"")"),15)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IFERROR(__xludf.DUMMYFUNCTION("IMPORTRANGE(""https://docs.google.com/spreadsheets/d/1SX6NBoVAgQJ6U1MVXOaj8PK2l7WJ3RER9xtqwdhxkhw/edit?usp=sharing"",""ฉะเชิงเทรา!J151"")"),0)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IFERROR(__xludf.DUMMYFUNCTION("IMPORTRANGE(""https://docs.google.com/spreadsheets/d/1SX6NBoVAgQJ6U1MVXOaj8PK2l7WJ3RER9xtqwdhxkhw/edit?usp=sharing"",""ฉะเชิงเทรา!J152"")"),1)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IFERROR(__xludf.DUMMYFUNCTION("IMPORTRANGE(""https://docs.google.com/spreadsheets/d/1SX6NBoVAgQJ6U1MVXOaj8PK2l7WJ3RER9xtqwdhxkhw/edit?usp=sharing"",""ฉะเชิงเทรา!J153"")"),1)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IFERROR(__xludf.DUMMYFUNCTION("IMPORTRANGE(""https://docs.google.com/spreadsheets/d/1SX6NBoVAgQJ6U1MVXOaj8PK2l7WJ3RER9xtqwdhxkhw/edit?usp=sharing"",""ฉะเชิงเทรา!J154"")"),1)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IFERROR(__xludf.DUMMYFUNCTION("IMPORTRANGE(""https://docs.google.com/spreadsheets/d/1SX6NBoVAgQJ6U1MVXOaj8PK2l7WJ3RER9xtqwdhxkhw/edit?usp=sharing"",""ฉะเชิงเทรา!I155"")"),15)</f>
        <v>15</v>
      </c>
      <c r="J235" s="189">
        <f ca="1">IFERROR(__xludf.DUMMYFUNCTION("IMPORTRANGE(""https://docs.google.com/spreadsheets/d/1SX6NBoVAgQJ6U1MVXOaj8PK2l7WJ3RER9xtqwdhxkhw/edit?usp=sharing"",""ฉะเชิงเทรา!J155"")"),15)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IFERROR(__xludf.DUMMYFUNCTION("IMPORTRANGE(""https://docs.google.com/spreadsheets/d/1SX6NBoVAgQJ6U1MVXOaj8PK2l7WJ3RER9xtqwdhxkhw/edit?usp=sharing"",""ฉะเชิงเทรา!J156"")"),0)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IFERROR(__xludf.DUMMYFUNCTION("IMPORTRANGE(""https://docs.google.com/spreadsheets/d/1SX6NBoVAgQJ6U1MVXOaj8PK2l7WJ3RER9xtqwdhxkhw/edit?usp=sharing"",""ฉะเชิงเทรา!J157"")"),0)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IFERROR(__xludf.DUMMYFUNCTION("IMPORTRANGE(""https://docs.google.com/spreadsheets/d/1SX6NBoVAgQJ6U1MVXOaj8PK2l7WJ3RER9xtqwdhxkhw/edit?usp=sharing"",""ฉะเชิงเทรา!I158"")"),0)</f>
        <v>0</v>
      </c>
      <c r="J238" s="268">
        <f ca="1">IFERROR(__xludf.DUMMYFUNCTION("IMPORTRANGE(""https://docs.google.com/spreadsheets/d/1SX6NBoVAgQJ6U1MVXOaj8PK2l7WJ3RER9xtqwdhxkhw/edit?usp=sharing"",""ฉะเชิงเทรา!J158"")"),0)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IFERROR(__xludf.DUMMYFUNCTION("IMPORTRANGE(""https://docs.google.com/spreadsheets/d/1SX6NBoVAgQJ6U1MVXOaj8PK2l7WJ3RER9xtqwdhxkhw/edit?usp=sharing"",""ฉะเชิงเทรา!J159"")"),"")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IFERROR(__xludf.DUMMYFUNCTION("IMPORTRANGE(""https://docs.google.com/spreadsheets/d/1SX6NBoVAgQJ6U1MVXOaj8PK2l7WJ3RER9xtqwdhxkhw/edit?usp=sharing"",""ฉะเชิงเทรา!J161"")"),0)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IFERROR(__xludf.DUMMYFUNCTION("IMPORTRANGE(""https://docs.google.com/spreadsheets/d/1SX6NBoVAgQJ6U1MVXOaj8PK2l7WJ3RER9xtqwdhxkhw/edit?usp=sharing"",""ฉะเชิงเทรา!J162"")"),0)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IFERROR(__xludf.DUMMYFUNCTION("IMPORTRANGE(""https://docs.google.com/spreadsheets/d/1SX6NBoVAgQJ6U1MVXOaj8PK2l7WJ3RER9xtqwdhxkhw/edit?usp=sharing"",""ฉะเชิงเทรา!J163"")"),0)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IFERROR(__xludf.DUMMYFUNCTION("IMPORTRANGE(""https://docs.google.com/spreadsheets/d/1SX6NBoVAgQJ6U1MVXOaj8PK2l7WJ3RER9xtqwdhxkhw/edit?usp=sharing"",""ฉะเชิงเทรา!I164"")"),0)</f>
        <v>0</v>
      </c>
      <c r="J244" s="188">
        <f ca="1">IFERROR(__xludf.DUMMYFUNCTION("IMPORTRANGE(""https://docs.google.com/spreadsheets/d/1SX6NBoVAgQJ6U1MVXOaj8PK2l7WJ3RER9xtqwdhxkhw/edit?usp=sharing"",""ฉะเชิงเทรา!J164"")"),0)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IFERROR(__xludf.DUMMYFUNCTION("IMPORTRANGE(""https://docs.google.com/spreadsheets/d/1SX6NBoVAgQJ6U1MVXOaj8PK2l7WJ3RER9xtqwdhxkhw/edit?usp=sharing"",""ฉะเชิงเทรา!J165"")"),0)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IFERROR(__xludf.DUMMYFUNCTION("IMPORTRANGE(""https://docs.google.com/spreadsheets/d/1SX6NBoVAgQJ6U1MVXOaj8PK2l7WJ3RER9xtqwdhxkhw/edit?usp=sharing"",""ฉะเชิงเทรา!J166"")"),0)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IFERROR(__xludf.DUMMYFUNCTION("IMPORTRANGE(""https://docs.google.com/spreadsheets/d/1SX6NBoVAgQJ6U1MVXOaj8PK2l7WJ3RER9xtqwdhxkhw/edit?usp=sharing"",""ฉะเชิงเทรา!I169"")"),20)</f>
        <v>20</v>
      </c>
      <c r="J249" s="317">
        <f ca="1">IFERROR(__xludf.DUMMYFUNCTION("IMPORTRANGE(""https://docs.google.com/spreadsheets/d/1SX6NBoVAgQJ6U1MVXOaj8PK2l7WJ3RER9xtqwdhxkhw/edit?usp=sharing"",""ฉะเชิงเทรา!J169"")"),20)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36470</v>
      </c>
      <c r="O250" s="151">
        <f t="shared" ref="O250:O252" ca="1" si="78">IF(L250&gt;0,N250*100/L250,0)</f>
        <v>51.078431372549019</v>
      </c>
      <c r="P250" s="151">
        <f t="shared" ref="P250:P252" ca="1" si="79">IF(M250&gt;0,N250*100/M250,0)</f>
        <v>86.833333333333329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36470</v>
      </c>
      <c r="O252" s="156">
        <f t="shared" ca="1" si="78"/>
        <v>51.078431372549019</v>
      </c>
      <c r="P252" s="156">
        <f t="shared" ca="1" si="79"/>
        <v>86.833333333333329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IFERROR(__xludf.DUMMYFUNCTION("IMPORTRANGE(""https://docs.google.com/spreadsheets/d/1Yj_ptqi66GCucihVvJfMjLAmec39IyEx_6qawtMGysU/edit?usp=sharing"",""สบก!CB61"")"),42000)</f>
        <v>42000</v>
      </c>
      <c r="N254" s="169">
        <f ca="1">IFERROR(__xludf.DUMMYFUNCTION("IMPORTRANGE(""https://docs.google.com/spreadsheets/d/1Yj_ptqi66GCucihVvJfMjLAmec39IyEx_6qawtMGysU/edit?usp=sharing"",""สบก!CC61"")"),36470)</f>
        <v>36470</v>
      </c>
      <c r="O254" s="169">
        <f ca="1">IF(L254&gt;0,N254*100/L254,0)</f>
        <v>51.078431372549019</v>
      </c>
      <c r="P254" s="169">
        <f ca="1">IF(M254&gt;0,N254*100/M254,0)</f>
        <v>86.833333333333329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IFERROR(__xludf.DUMMYFUNCTION("IMPORTRANGE(""https://docs.google.com/spreadsheets/d/1Yj_ptqi66GCucihVvJfMjLAmec39IyEx_6qawtMGysU/edit?usp=sharing"",""สบก!BX61"")"),0)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IFERROR(__xludf.DUMMYFUNCTION("IMPORTRANGE(""https://docs.google.com/spreadsheets/d/1Yj_ptqi66GCucihVvJfMjLAmec39IyEx_6qawtMGysU/edit?usp=sharing"",""สบก!BY61"")"),71400)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IFERROR(__xludf.DUMMYFUNCTION("IMPORTRANGE(""https://docs.google.com/spreadsheets/d/1SX6NBoVAgQJ6U1MVXOaj8PK2l7WJ3RER9xtqwdhxkhw/edit?usp=sharing"",""ฉะเชิงเทรา!J175"")"),0)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IFERROR(__xludf.DUMMYFUNCTION("IMPORTRANGE(""https://docs.google.com/spreadsheets/d/1SX6NBoVAgQJ6U1MVXOaj8PK2l7WJ3RER9xtqwdhxkhw/edit?usp=sharing"",""ฉะเชิงเทรา!J176"")"),1)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IFERROR(__xludf.DUMMYFUNCTION("IMPORTRANGE(""https://docs.google.com/spreadsheets/d/1SX6NBoVAgQJ6U1MVXOaj8PK2l7WJ3RER9xtqwdhxkhw/edit?usp=sharing"",""ฉะเชิงเทรา!J177"")"),1)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IFERROR(__xludf.DUMMYFUNCTION("IMPORTRANGE(""https://docs.google.com/spreadsheets/d/1SX6NBoVAgQJ6U1MVXOaj8PK2l7WJ3RER9xtqwdhxkhw/edit?usp=sharing"",""ฉะเชิงเทรา!J178"")"),1)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IFERROR(__xludf.DUMMYFUNCTION("IMPORTRANGE(""https://docs.google.com/spreadsheets/d/1SX6NBoVAgQJ6U1MVXOaj8PK2l7WJ3RER9xtqwdhxkhw/edit?usp=sharing"",""ฉะเชิงเทรา!I179"")"),1)</f>
        <v>1</v>
      </c>
      <c r="J264" s="189">
        <f ca="1">IFERROR(__xludf.DUMMYFUNCTION("IMPORTRANGE(""https://docs.google.com/spreadsheets/d/1SX6NBoVAgQJ6U1MVXOaj8PK2l7WJ3RER9xtqwdhxkhw/edit?usp=sharing"",""ฉะเชิงเทรา!J179"")"),1)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IFERROR(__xludf.DUMMYFUNCTION("IMPORTRANGE(""https://docs.google.com/spreadsheets/d/1SX6NBoVAgQJ6U1MVXOaj8PK2l7WJ3RER9xtqwdhxkhw/edit?usp=sharing"",""ฉะเชิงเทรา!I180"")"),20)</f>
        <v>20</v>
      </c>
      <c r="J265" s="189">
        <f ca="1">IFERROR(__xludf.DUMMYFUNCTION("IMPORTRANGE(""https://docs.google.com/spreadsheets/d/1SX6NBoVAgQJ6U1MVXOaj8PK2l7WJ3RER9xtqwdhxkhw/edit?usp=sharing"",""ฉะเชิงเทรา!J180"")"),20)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IFERROR(__xludf.DUMMYFUNCTION("IMPORTRANGE(""https://docs.google.com/spreadsheets/d/1SX6NBoVAgQJ6U1MVXOaj8PK2l7WJ3RER9xtqwdhxkhw/edit?usp=sharing"",""ฉะเชิงเทรา!I181"")"),20)</f>
        <v>20</v>
      </c>
      <c r="J266" s="189">
        <f ca="1">IFERROR(__xludf.DUMMYFUNCTION("IMPORTRANGE(""https://docs.google.com/spreadsheets/d/1SX6NBoVAgQJ6U1MVXOaj8PK2l7WJ3RER9xtqwdhxkhw/edit?usp=sharing"",""ฉะเชิงเทรา!J181"")"),0)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IFERROR(__xludf.DUMMYFUNCTION("IMPORTRANGE(""https://docs.google.com/spreadsheets/d/1SX6NBoVAgQJ6U1MVXOaj8PK2l7WJ3RER9xtqwdhxkhw/edit?usp=sharing"",""ฉะเชิงเทรา!I182"")"),1)</f>
        <v>1</v>
      </c>
      <c r="J267" s="189">
        <f ca="1">IFERROR(__xludf.DUMMYFUNCTION("IMPORTRANGE(""https://docs.google.com/spreadsheets/d/1SX6NBoVAgQJ6U1MVXOaj8PK2l7WJ3RER9xtqwdhxkhw/edit?usp=sharing"",""ฉะเชิงเทรา!J182"")"),0)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IFERROR(__xludf.DUMMYFUNCTION("IMPORTRANGE(""https://docs.google.com/spreadsheets/d/1SX6NBoVAgQJ6U1MVXOaj8PK2l7WJ3RER9xtqwdhxkhw/edit?usp=sharing"",""ฉะเชิงเทรา!J183"")"),0)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IFERROR(__xludf.DUMMYFUNCTION("IMPORTRANGE(""https://docs.google.com/spreadsheets/d/1SX6NBoVAgQJ6U1MVXOaj8PK2l7WJ3RER9xtqwdhxkhw/edit?usp=sharing"",""ฉะเชิงเทรา!J184"")"),0)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IFERROR(__xludf.DUMMYFUNCTION("IMPORTRANGE(""https://docs.google.com/spreadsheets/d/1SX6NBoVAgQJ6U1MVXOaj8PK2l7WJ3RER9xtqwdhxkhw/edit?usp=sharing"",""ฉะเชิงเทรา!I185"")"),20)</f>
        <v>20</v>
      </c>
      <c r="J270" s="317">
        <f ca="1">IFERROR(__xludf.DUMMYFUNCTION("IMPORTRANGE(""https://docs.google.com/spreadsheets/d/1SX6NBoVAgQJ6U1MVXOaj8PK2l7WJ3RER9xtqwdhxkhw/edit?usp=sharing"",""ฉะเชิงเทรา!J185"")"),20)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119299.72</v>
      </c>
      <c r="O271" s="151">
        <f t="shared" ref="O271:O273" ca="1" si="84">IF(L271&gt;0,N271*100/L271,0)</f>
        <v>64.978061002178649</v>
      </c>
      <c r="P271" s="151">
        <f t="shared" ref="P271:P273" ca="1" si="85">IF(M271&gt;0,N271*100/M271,0)</f>
        <v>73.824084158415843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119299.72</v>
      </c>
      <c r="O273" s="156">
        <f t="shared" ca="1" si="84"/>
        <v>64.978061002178649</v>
      </c>
      <c r="P273" s="156">
        <f t="shared" ca="1" si="85"/>
        <v>73.824084158415843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IFERROR(__xludf.DUMMYFUNCTION("IMPORTRANGE(""https://docs.google.com/spreadsheets/d/1Yj_ptqi66GCucihVvJfMjLAmec39IyEx_6qawtMGysU/edit?usp=sharing"",""สบก!CK61"")"),161600)</f>
        <v>161600</v>
      </c>
      <c r="N275" s="169">
        <f ca="1">IFERROR(__xludf.DUMMYFUNCTION("IMPORTRANGE(""https://docs.google.com/spreadsheets/d/1Yj_ptqi66GCucihVvJfMjLAmec39IyEx_6qawtMGysU/edit?usp=sharing"",""สบก!CL61"")"),119299.72)</f>
        <v>119299.72</v>
      </c>
      <c r="O275" s="169">
        <f ca="1">IF(L275&gt;0,N275*100/L275,0)</f>
        <v>64.978061002178649</v>
      </c>
      <c r="P275" s="169">
        <f ca="1">IF(M275&gt;0,N275*100/M275,0)</f>
        <v>73.824084158415843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IFERROR(__xludf.DUMMYFUNCTION("IMPORTRANGE(""https://docs.google.com/spreadsheets/d/1Yj_ptqi66GCucihVvJfMjLAmec39IyEx_6qawtMGysU/edit?usp=sharing"",""สบก!CH61"")"),183600)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IFERROR(__xludf.DUMMYFUNCTION("IMPORTRANGE(""https://docs.google.com/spreadsheets/d/1SX6NBoVAgQJ6U1MVXOaj8PK2l7WJ3RER9xtqwdhxkhw/edit?usp=sharing"",""ฉะเชิงเทรา!J191"")"),0)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IFERROR(__xludf.DUMMYFUNCTION("IMPORTRANGE(""https://docs.google.com/spreadsheets/d/1SX6NBoVAgQJ6U1MVXOaj8PK2l7WJ3RER9xtqwdhxkhw/edit?usp=sharing"",""ฉะเชิงเทรา!J192"")"),1)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IFERROR(__xludf.DUMMYFUNCTION("IMPORTRANGE(""https://docs.google.com/spreadsheets/d/1SX6NBoVAgQJ6U1MVXOaj8PK2l7WJ3RER9xtqwdhxkhw/edit?usp=sharing"",""ฉะเชิงเทรา!J193"")"),1)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IFERROR(__xludf.DUMMYFUNCTION("IMPORTRANGE(""https://docs.google.com/spreadsheets/d/1SX6NBoVAgQJ6U1MVXOaj8PK2l7WJ3RER9xtqwdhxkhw/edit?usp=sharing"",""ฉะเชิงเทรา!J194"")"),1)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IFERROR(__xludf.DUMMYFUNCTION("IMPORTRANGE(""https://docs.google.com/spreadsheets/d/1SX6NBoVAgQJ6U1MVXOaj8PK2l7WJ3RER9xtqwdhxkhw/edit?usp=sharing"",""ฉะเชิงเทรา!I195"")"),20)</f>
        <v>20</v>
      </c>
      <c r="J285" s="189">
        <f ca="1">IFERROR(__xludf.DUMMYFUNCTION("IMPORTRANGE(""https://docs.google.com/spreadsheets/d/1SX6NBoVAgQJ6U1MVXOaj8PK2l7WJ3RER9xtqwdhxkhw/edit?usp=sharing"",""ฉะเชิงเทรา!J195"")"),20)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IFERROR(__xludf.DUMMYFUNCTION("IMPORTRANGE(""https://docs.google.com/spreadsheets/d/1SX6NBoVAgQJ6U1MVXOaj8PK2l7WJ3RER9xtqwdhxkhw/edit?usp=sharing"",""ฉะเชิงเทรา!J196"")"),0)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IFERROR(__xludf.DUMMYFUNCTION("IMPORTRANGE(""https://docs.google.com/spreadsheets/d/1SX6NBoVAgQJ6U1MVXOaj8PK2l7WJ3RER9xtqwdhxkhw/edit?usp=sharing"",""ฉะเชิงเทรา!J197"")"),0)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IFERROR(__xludf.DUMMYFUNCTION("IMPORTRANGE(""https://docs.google.com/spreadsheets/d/1SX6NBoVAgQJ6U1MVXOaj8PK2l7WJ3RER9xtqwdhxkhw/edit?usp=sharing"",""ฉะเชิงเทรา!I199"")"),0)</f>
        <v>0</v>
      </c>
      <c r="J289" s="317">
        <f ca="1">IFERROR(__xludf.DUMMYFUNCTION("IMPORTRANGE(""https://docs.google.com/spreadsheets/d/1SX6NBoVAgQJ6U1MVXOaj8PK2l7WJ3RER9xtqwdhxkhw/edit?usp=sharing"",""ฉะเชิงเทรา!J199"")"),0)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IFERROR(__xludf.DUMMYFUNCTION("IMPORTRANGE(""https://docs.google.com/spreadsheets/d/1Yj_ptqi66GCucihVvJfMjLAmec39IyEx_6qawtMGysU/edit?usp=sharing"",""สบก!CT61"")"),0)</f>
        <v>0</v>
      </c>
      <c r="N294" s="169">
        <f ca="1">IFERROR(__xludf.DUMMYFUNCTION("IMPORTRANGE(""https://docs.google.com/spreadsheets/d/1Yj_ptqi66GCucihVvJfMjLAmec39IyEx_6qawtMGysU/edit?usp=sharing"",""สบก!CU61"")"),0)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IFERROR(__xludf.DUMMYFUNCTION("IMPORTRANGE(""https://docs.google.com/spreadsheets/d/1SX6NBoVAgQJ6U1MVXOaj8PK2l7WJ3RER9xtqwdhxkhw/edit?usp=sharing"",""ฉะเชิงเทรา!J205"")"),0)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IFERROR(__xludf.DUMMYFUNCTION("IMPORTRANGE(""https://docs.google.com/spreadsheets/d/1SX6NBoVAgQJ6U1MVXOaj8PK2l7WJ3RER9xtqwdhxkhw/edit?usp=sharing"",""ฉะเชิงเทรา!J206"")"),0)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IFERROR(__xludf.DUMMYFUNCTION("IMPORTRANGE(""https://docs.google.com/spreadsheets/d/1SX6NBoVAgQJ6U1MVXOaj8PK2l7WJ3RER9xtqwdhxkhw/edit?usp=sharing"",""ฉะเชิงเทรา!J207"")"),0)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IFERROR(__xludf.DUMMYFUNCTION("IMPORTRANGE(""https://docs.google.com/spreadsheets/d/1SX6NBoVAgQJ6U1MVXOaj8PK2l7WJ3RER9xtqwdhxkhw/edit?usp=sharing"",""ฉะเชิงเทรา!J208"")"),0)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IFERROR(__xludf.DUMMYFUNCTION("IMPORTRANGE(""https://docs.google.com/spreadsheets/d/1SX6NBoVAgQJ6U1MVXOaj8PK2l7WJ3RER9xtqwdhxkhw/edit?usp=sharing"",""ฉะเชิงเทรา!I209"")"),0)</f>
        <v>0</v>
      </c>
      <c r="J304" s="204">
        <f ca="1">IFERROR(__xludf.DUMMYFUNCTION("IMPORTRANGE(""https://docs.google.com/spreadsheets/d/1SX6NBoVAgQJ6U1MVXOaj8PK2l7WJ3RER9xtqwdhxkhw/edit?usp=sharing"",""ฉะเชิงเทรา!J209"")"),0)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IFERROR(__xludf.DUMMYFUNCTION("IMPORTRANGE(""https://docs.google.com/spreadsheets/d/1SX6NBoVAgQJ6U1MVXOaj8PK2l7WJ3RER9xtqwdhxkhw/edit?usp=sharing"",""ฉะเชิงเทรา!I211"")"),0)</f>
        <v>0</v>
      </c>
      <c r="J306" s="204">
        <f ca="1">IFERROR(__xludf.DUMMYFUNCTION("IMPORTRANGE(""https://docs.google.com/spreadsheets/d/1SX6NBoVAgQJ6U1MVXOaj8PK2l7WJ3RER9xtqwdhxkhw/edit?usp=sharing"",""ฉะเชิงเทรา!J211"")"),0)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IFERROR(__xludf.DUMMYFUNCTION("IMPORTRANGE(""https://docs.google.com/spreadsheets/d/1SX6NBoVAgQJ6U1MVXOaj8PK2l7WJ3RER9xtqwdhxkhw/edit?usp=sharing"",""ฉะเชิงเทรา!J212"")"),0)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IFERROR(__xludf.DUMMYFUNCTION("IMPORTRANGE(""https://docs.google.com/spreadsheets/d/1SX6NBoVAgQJ6U1MVXOaj8PK2l7WJ3RER9xtqwdhxkhw/edit?usp=sharing"",""ฉะเชิงเทรา!J213"")"),0)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IFERROR(__xludf.DUMMYFUNCTION("IMPORTRANGE(""https://docs.google.com/spreadsheets/d/1SX6NBoVAgQJ6U1MVXOaj8PK2l7WJ3RER9xtqwdhxkhw/edit?usp=sharing"",""ฉะเชิงเทรา!I214"")"),0)</f>
        <v>0</v>
      </c>
      <c r="J309" s="334">
        <f ca="1">IFERROR(__xludf.DUMMYFUNCTION("IMPORTRANGE(""https://docs.google.com/spreadsheets/d/1SX6NBoVAgQJ6U1MVXOaj8PK2l7WJ3RER9xtqwdhxkhw/edit?usp=sharing"",""ฉะเชิงเทรา!J214"")"),0)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IFERROR(__xludf.DUMMYFUNCTION("IMPORTRANGE(""https://docs.google.com/spreadsheets/d/1Yj_ptqi66GCucihVvJfMjLAmec39IyEx_6qawtMGysU/edit?usp=sharing"",""สบก!DC61"")"),0)</f>
        <v>0</v>
      </c>
      <c r="N314" s="169">
        <f ca="1">IFERROR(__xludf.DUMMYFUNCTION("IMPORTRANGE(""https://docs.google.com/spreadsheets/d/1Yj_ptqi66GCucihVvJfMjLAmec39IyEx_6qawtMGysU/edit?usp=sharing"",""สบก!DD61"")"),0)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IFERROR(__xludf.DUMMYFUNCTION("IMPORTRANGE(""https://docs.google.com/spreadsheets/d/1SX6NBoVAgQJ6U1MVXOaj8PK2l7WJ3RER9xtqwdhxkhw/edit?usp=sharing"",""ฉะเชิงเทรา!J220"")"),0)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IFERROR(__xludf.DUMMYFUNCTION("IMPORTRANGE(""https://docs.google.com/spreadsheets/d/1SX6NBoVAgQJ6U1MVXOaj8PK2l7WJ3RER9xtqwdhxkhw/edit?usp=sharing"",""ฉะเชิงเทรา!J221"")"),0)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IFERROR(__xludf.DUMMYFUNCTION("IMPORTRANGE(""https://docs.google.com/spreadsheets/d/1SX6NBoVAgQJ6U1MVXOaj8PK2l7WJ3RER9xtqwdhxkhw/edit?usp=sharing"",""ฉะเชิงเทรา!J222"")"),0)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IFERROR(__xludf.DUMMYFUNCTION("IMPORTRANGE(""https://docs.google.com/spreadsheets/d/1SX6NBoVAgQJ6U1MVXOaj8PK2l7WJ3RER9xtqwdhxkhw/edit?usp=sharing"",""ฉะเชิงเทรา!J223"")"),0)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IFERROR(__xludf.DUMMYFUNCTION("IMPORTRANGE(""https://docs.google.com/spreadsheets/d/1SX6NBoVAgQJ6U1MVXOaj8PK2l7WJ3RER9xtqwdhxkhw/edit?usp=sharing"",""ฉะเชิงเทรา!I224"")"),0)</f>
        <v>0</v>
      </c>
      <c r="J324" s="204">
        <f ca="1">IFERROR(__xludf.DUMMYFUNCTION("IMPORTRANGE(""https://docs.google.com/spreadsheets/d/1SX6NBoVAgQJ6U1MVXOaj8PK2l7WJ3RER9xtqwdhxkhw/edit?usp=sharing"",""ฉะเชิงเทรา!J224"")"),0)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IFERROR(__xludf.DUMMYFUNCTION("IMPORTRANGE(""https://docs.google.com/spreadsheets/d/1SX6NBoVAgQJ6U1MVXOaj8PK2l7WJ3RER9xtqwdhxkhw/edit?usp=sharing"",""ฉะเชิงเทรา!J225"")"),0)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IFERROR(__xludf.DUMMYFUNCTION("IMPORTRANGE(""https://docs.google.com/spreadsheets/d/1SX6NBoVAgQJ6U1MVXOaj8PK2l7WJ3RER9xtqwdhxkhw/edit?usp=sharing"",""ฉะเชิงเทรา!J226"")"),0)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IFERROR(__xludf.DUMMYFUNCTION("IMPORTRANGE(""https://docs.google.com/spreadsheets/d/1SX6NBoVAgQJ6U1MVXOaj8PK2l7WJ3RER9xtqwdhxkhw/edit?usp=sharing"",""ฉะเชิงเทรา!I228"")"),210)</f>
        <v>210</v>
      </c>
      <c r="J328" s="340">
        <f ca="1">IFERROR(__xludf.DUMMYFUNCTION("IMPORTRANGE(""https://docs.google.com/spreadsheets/d/1SX6NBoVAgQJ6U1MVXOaj8PK2l7WJ3RER9xtqwdhxkhw/edit?usp=sharing"",""ฉะเชิงเทรา!J228"")"),171)</f>
        <v>171</v>
      </c>
      <c r="K328" s="318">
        <f ca="1">IF(I328&gt;0,J328*100/I328,0)</f>
        <v>81.428571428571431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985070</v>
      </c>
      <c r="M329" s="152">
        <f t="shared" ca="1" si="98"/>
        <v>789440</v>
      </c>
      <c r="N329" s="152">
        <f t="shared" ca="1" si="98"/>
        <v>637809.81000000006</v>
      </c>
      <c r="O329" s="151">
        <f t="shared" ref="O329:O331" ca="1" si="99">IF(L329&gt;0,N329*100/L329,0)</f>
        <v>64.74766361781397</v>
      </c>
      <c r="P329" s="151">
        <f t="shared" ref="P329:P331" ca="1" si="100">IF(M329&gt;0,N329*100/M329,0)</f>
        <v>80.792689754762876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985070</v>
      </c>
      <c r="M331" s="157">
        <f t="shared" ca="1" si="102"/>
        <v>789440</v>
      </c>
      <c r="N331" s="157">
        <f t="shared" ca="1" si="102"/>
        <v>637809.81000000006</v>
      </c>
      <c r="O331" s="156">
        <f t="shared" ca="1" si="99"/>
        <v>64.74766361781397</v>
      </c>
      <c r="P331" s="156">
        <f t="shared" ca="1" si="100"/>
        <v>80.792689754762876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968070</v>
      </c>
      <c r="M333" s="168">
        <f ca="1">IFERROR(__xludf.DUMMYFUNCTION("IMPORTRANGE(""https://docs.google.com/spreadsheets/d/1Yj_ptqi66GCucihVvJfMjLAmec39IyEx_6qawtMGysU/edit?usp=sharing"",""สบก!DL61"")"),772440)</f>
        <v>772440</v>
      </c>
      <c r="N333" s="169">
        <f ca="1">IFERROR(__xludf.DUMMYFUNCTION("IMPORTRANGE(""https://docs.google.com/spreadsheets/d/1Yj_ptqi66GCucihVvJfMjLAmec39IyEx_6qawtMGysU/edit?usp=sharing"",""สบก!DM61"")"),620809.81)</f>
        <v>620809.81000000006</v>
      </c>
      <c r="O333" s="169">
        <f ca="1">IF(L333&gt;0,N333*100/L333,0)</f>
        <v>64.128607435412732</v>
      </c>
      <c r="P333" s="169">
        <f ca="1">IF(M333&gt;0,N333*100/M333,0)</f>
        <v>80.36997177774326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IFERROR(__xludf.DUMMYFUNCTION("IMPORTRANGE(""https://docs.google.com/spreadsheets/d/1Yj_ptqi66GCucihVvJfMjLAmec39IyEx_6qawtMGysU/edit?usp=sharing"",""สบก!DH61"")"),529200)</f>
        <v>529200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IFERROR(__xludf.DUMMYFUNCTION("IMPORTRANGE(""https://docs.google.com/spreadsheets/d/1Yj_ptqi66GCucihVvJfMjLAmec39IyEx_6qawtMGysU/edit?usp=sharing"",""สบก!DI61"")"),438870)</f>
        <v>438870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IFERROR(__xludf.DUMMYFUNCTION("IMPORTRANGE(""https://docs.google.com/spreadsheets/d/1SX6NBoVAgQJ6U1MVXOaj8PK2l7WJ3RER9xtqwdhxkhw/edit?usp=sharing"",""ฉะเชิงเทรา!I234"")"),0)</f>
        <v>0</v>
      </c>
      <c r="J339" s="188">
        <f ca="1">IFERROR(__xludf.DUMMYFUNCTION("IMPORTRANGE(""https://docs.google.com/spreadsheets/d/1SX6NBoVAgQJ6U1MVXOaj8PK2l7WJ3RER9xtqwdhxkhw/edit?usp=sharing"",""ฉะเชิงเทรา!J234"")"),330)</f>
        <v>330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IFERROR(__xludf.DUMMYFUNCTION("IMPORTRANGE(""https://docs.google.com/spreadsheets/d/1SX6NBoVAgQJ6U1MVXOaj8PK2l7WJ3RER9xtqwdhxkhw/edit?usp=sharing"",""ฉะเชิงเทรา!I235"")"),3160)</f>
        <v>3160</v>
      </c>
      <c r="J340" s="188">
        <f ca="1">IFERROR(__xludf.DUMMYFUNCTION("IMPORTRANGE(""https://docs.google.com/spreadsheets/d/1SX6NBoVAgQJ6U1MVXOaj8PK2l7WJ3RER9xtqwdhxkhw/edit?usp=sharing"",""ฉะเชิงเทรา!J235"")"),3840.34)</f>
        <v>3840.34</v>
      </c>
      <c r="K340" s="343">
        <f t="shared" ca="1" si="103"/>
        <v>121.52974683544304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IFERROR(__xludf.DUMMYFUNCTION("IMPORTRANGE(""https://docs.google.com/spreadsheets/d/1SX6NBoVAgQJ6U1MVXOaj8PK2l7WJ3RER9xtqwdhxkhw/edit?usp=sharing"",""ฉะเชิงเทรา!I236"")"),210)</f>
        <v>210</v>
      </c>
      <c r="J341" s="188">
        <f ca="1">IFERROR(__xludf.DUMMYFUNCTION("IMPORTRANGE(""https://docs.google.com/spreadsheets/d/1SX6NBoVAgQJ6U1MVXOaj8PK2l7WJ3RER9xtqwdhxkhw/edit?usp=sharing"",""ฉะเชิงเทรา!J236"")"),275)</f>
        <v>275</v>
      </c>
      <c r="K341" s="343">
        <f t="shared" ca="1" si="103"/>
        <v>130.95238095238096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8">
        <f ca="1">IFERROR(__xludf.DUMMYFUNCTION("IMPORTRANGE(""https://docs.google.com/spreadsheets/d/1SX6NBoVAgQJ6U1MVXOaj8PK2l7WJ3RER9xtqwdhxkhw/edit?usp=sharing"",""ฉะเชิงเทรา!J237"")"),3674.12)</f>
        <v>3674.12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IFERROR(__xludf.DUMMYFUNCTION("IMPORTRANGE(""https://docs.google.com/spreadsheets/d/1SX6NBoVAgQJ6U1MVXOaj8PK2l7WJ3RER9xtqwdhxkhw/edit?usp=sharing"",""ฉะเชิงเทรา!I238"")"),210)</f>
        <v>210</v>
      </c>
      <c r="J343" s="188">
        <f ca="1">IFERROR(__xludf.DUMMYFUNCTION("IMPORTRANGE(""https://docs.google.com/spreadsheets/d/1SX6NBoVAgQJ6U1MVXOaj8PK2l7WJ3RER9xtqwdhxkhw/edit?usp=sharing"",""ฉะเชิงเทรา!J238"")"),0)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8">
        <f ca="1">IFERROR(__xludf.DUMMYFUNCTION("IMPORTRANGE(""https://docs.google.com/spreadsheets/d/1SX6NBoVAgQJ6U1MVXOaj8PK2l7WJ3RER9xtqwdhxkhw/edit?usp=sharing"",""ฉะเชิงเทรา!J239"")"),0)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IFERROR(__xludf.DUMMYFUNCTION("IMPORTRANGE(""https://docs.google.com/spreadsheets/d/1SX6NBoVAgQJ6U1MVXOaj8PK2l7WJ3RER9xtqwdhxkhw/edit?usp=sharing"",""ฉะเชิงเทรา!I240"")"),210)</f>
        <v>210</v>
      </c>
      <c r="J345" s="188">
        <f ca="1">IFERROR(__xludf.DUMMYFUNCTION("IMPORTRANGE(""https://docs.google.com/spreadsheets/d/1SX6NBoVAgQJ6U1MVXOaj8PK2l7WJ3RER9xtqwdhxkhw/edit?usp=sharing"",""ฉะเชิงเทรา!J240"")"),171)</f>
        <v>171</v>
      </c>
      <c r="K345" s="343">
        <f t="shared" ca="1" si="103"/>
        <v>81.428571428571431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8">
        <f ca="1">IFERROR(__xludf.DUMMYFUNCTION("IMPORTRANGE(""https://docs.google.com/spreadsheets/d/1SX6NBoVAgQJ6U1MVXOaj8PK2l7WJ3RER9xtqwdhxkhw/edit?usp=sharing"",""ฉะเชิงเทรา!J241"")"),2513.35)</f>
        <v>2513.35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IFERROR(__xludf.DUMMYFUNCTION("IMPORTRANGE(""https://docs.google.com/spreadsheets/d/1SX6NBoVAgQJ6U1MVXOaj8PK2l7WJ3RER9xtqwdhxkhw/edit?usp=sharing"",""ฉะเชิงเทรา!L242"")"),2694919)</f>
        <v>2694919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IFERROR(__xludf.DUMMYFUNCTION("IMPORTRANGE(""https://docs.google.com/spreadsheets/d/1SX6NBoVAgQJ6U1MVXOaj8PK2l7WJ3RER9xtqwdhxkhw/edit?usp=sharing"",""ฉะเชิงเทรา!M242"")"),1666842.02)</f>
        <v>1666842.02</v>
      </c>
      <c r="O347" s="358">
        <f ca="1">+IF(L347&gt;0,N347*100/L347,0)</f>
        <v>61.851284584063563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IFERROR(__xludf.DUMMYFUNCTION("IMPORTRANGE(""https://docs.google.com/spreadsheets/d/1SX6NBoVAgQJ6U1MVXOaj8PK2l7WJ3RER9xtqwdhxkhw/edit?usp=sharing"",""ฉะเชิงเทรา!M244"")"),237472.94)</f>
        <v>237472.94</v>
      </c>
      <c r="O349" s="373">
        <f ca="1">+IF(L349&gt;0,N349*100/L349,0)</f>
        <v>73.172163677820919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IFERROR(__xludf.DUMMYFUNCTION("IMPORTRANGE(""https://docs.google.com/spreadsheets/d/1SX6NBoVAgQJ6U1MVXOaj8PK2l7WJ3RER9xtqwdhxkhw/edit?usp=sharing"",""ฉะเชิงเทรา!L246"")"),0)</f>
        <v>0</v>
      </c>
      <c r="M351" s="164"/>
      <c r="N351" s="164">
        <f ca="1">IFERROR(__xludf.DUMMYFUNCTION("IMPORTRANGE(""https://docs.google.com/spreadsheets/d/1SX6NBoVAgQJ6U1MVXOaj8PK2l7WJ3RER9xtqwdhxkhw/edit?usp=sharing"",""ฉะเชิงเทรา!M246"")"),0)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5"/>
      <c r="N352" s="164">
        <f ca="1">IFERROR(__xludf.DUMMYFUNCTION("IMPORTRANGE(""https://docs.google.com/spreadsheets/d/1SX6NBoVAgQJ6U1MVXOaj8PK2l7WJ3RER9xtqwdhxkhw/edit?usp=sharing"",""ฉะเชิงเทรา!M247"")"),237472.94)</f>
        <v>237472.94</v>
      </c>
      <c r="O352" s="165">
        <f t="shared" ca="1" si="105"/>
        <v>73.172163677820919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IFERROR(__xludf.DUMMYFUNCTION("IMPORTRANGE(""https://docs.google.com/spreadsheets/d/1SX6NBoVAgQJ6U1MVXOaj8PK2l7WJ3RER9xtqwdhxkhw/edit?usp=sharing"",""ฉะเชิงเทรา!L248"")"),0)</f>
        <v>0</v>
      </c>
      <c r="M353" s="169"/>
      <c r="N353" s="169">
        <f ca="1">IFERROR(__xludf.DUMMYFUNCTION("IMPORTRANGE(""https://docs.google.com/spreadsheets/d/1SX6NBoVAgQJ6U1MVXOaj8PK2l7WJ3RER9xtqwdhxkhw/edit?usp=sharing"",""ฉะเชิงเทรา!M248"")"),0)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IFERROR(__xludf.DUMMYFUNCTION("IMPORTRANGE(""https://docs.google.com/spreadsheets/d/1SX6NBoVAgQJ6U1MVXOaj8PK2l7WJ3RER9xtqwdhxkhw/edit?usp=sharing"",""ฉะเชิงเทรา!L249"")"),324540)</f>
        <v>324540</v>
      </c>
      <c r="M354" s="169"/>
      <c r="N354" s="168">
        <f ca="1">IFERROR(__xludf.DUMMYFUNCTION("IMPORTRANGE(""https://docs.google.com/spreadsheets/d/1SX6NBoVAgQJ6U1MVXOaj8PK2l7WJ3RER9xtqwdhxkhw/edit?usp=sharing"",""ฉะเชิงเทรา!M249"")"),237472.94)</f>
        <v>237472.94</v>
      </c>
      <c r="O354" s="169">
        <f t="shared" ca="1" si="105"/>
        <v>73.172163677820919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IFERROR(__xludf.DUMMYFUNCTION("IMPORTRANGE(""https://docs.google.com/spreadsheets/d/1SX6NBoVAgQJ6U1MVXOaj8PK2l7WJ3RER9xtqwdhxkhw/edit?usp=sharing"",""ฉะเชิงเทรา!M251"")"),70800)</f>
        <v>70800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IFERROR(__xludf.DUMMYFUNCTION("IMPORTRANGE(""https://docs.google.com/spreadsheets/d/1SX6NBoVAgQJ6U1MVXOaj8PK2l7WJ3RER9xtqwdhxkhw/edit?usp=sharing"",""ฉะเชิงเทรา!M252"")"),75532.94)</f>
        <v>75532.94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IFERROR(__xludf.DUMMYFUNCTION("IMPORTRANGE(""https://docs.google.com/spreadsheets/d/1SX6NBoVAgQJ6U1MVXOaj8PK2l7WJ3RER9xtqwdhxkhw/edit?usp=sharing"",""ฉะเชิงเทรา!M253"")"),24780)</f>
        <v>24780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IFERROR(__xludf.DUMMYFUNCTION("IMPORTRANGE(""https://docs.google.com/spreadsheets/d/1SX6NBoVAgQJ6U1MVXOaj8PK2l7WJ3RER9xtqwdhxkhw/edit?usp=sharing"",""ฉะเชิงเทรา!J255"")"),0)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IFERROR(__xludf.DUMMYFUNCTION("IMPORTRANGE(""https://docs.google.com/spreadsheets/d/1SX6NBoVAgQJ6U1MVXOaj8PK2l7WJ3RER9xtqwdhxkhw/edit?usp=sharing"",""ฉะเชิงเทรา!J256"")"),1)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IFERROR(__xludf.DUMMYFUNCTION("IMPORTRANGE(""https://docs.google.com/spreadsheets/d/1SX6NBoVAgQJ6U1MVXOaj8PK2l7WJ3RER9xtqwdhxkhw/edit?usp=sharing"",""ฉะเชิงเทรา!J257"")"),1)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IFERROR(__xludf.DUMMYFUNCTION("IMPORTRANGE(""https://docs.google.com/spreadsheets/d/1SX6NBoVAgQJ6U1MVXOaj8PK2l7WJ3RER9xtqwdhxkhw/edit?usp=sharing"",""ฉะเชิงเทรา!J258"")"),1)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IFERROR(__xludf.DUMMYFUNCTION("IMPORTRANGE(""https://docs.google.com/spreadsheets/d/1SX6NBoVAgQJ6U1MVXOaj8PK2l7WJ3RER9xtqwdhxkhw/edit?usp=sharing"",""ฉะเชิงเทรา!J166"")"),0)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IFERROR(__xludf.DUMMYFUNCTION("IMPORTRANGE(""https://docs.google.com/spreadsheets/d/1SX6NBoVAgQJ6U1MVXOaj8PK2l7WJ3RER9xtqwdhxkhw/edit?usp=sharing"",""ฉะเชิงเทรา!J166"")"),0)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IFERROR(__xludf.DUMMYFUNCTION("IMPORTRANGE(""https://docs.google.com/spreadsheets/d/1SX6NBoVAgQJ6U1MVXOaj8PK2l7WJ3RER9xtqwdhxkhw/edit?usp=sharing"",""ฉะเชิงเทรา!J166"")"),0)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IFERROR(__xludf.DUMMYFUNCTION("IMPORTRANGE(""https://docs.google.com/spreadsheets/d/1SX6NBoVAgQJ6U1MVXOaj8PK2l7WJ3RER9xtqwdhxkhw/edit?usp=sharing"",""ฉะเชิงเทรา!J166"")"),0)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IFERROR(__xludf.DUMMYFUNCTION("IMPORTRANGE(""https://docs.google.com/spreadsheets/d/1SX6NBoVAgQJ6U1MVXOaj8PK2l7WJ3RER9xtqwdhxkhw/edit?usp=sharing"",""ฉะเชิงเทรา!I263"")"),54)</f>
        <v>54</v>
      </c>
      <c r="J368" s="188">
        <f ca="1">IFERROR(__xludf.DUMMYFUNCTION("IMPORTRANGE(""https://docs.google.com/spreadsheets/d/1SX6NBoVAgQJ6U1MVXOaj8PK2l7WJ3RER9xtqwdhxkhw/edit?usp=sharing"",""ฉะเชิงเทรา!J263"")"),54)</f>
        <v>54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IFERROR(__xludf.DUMMYFUNCTION("IMPORTRANGE(""https://docs.google.com/spreadsheets/d/1SX6NBoVAgQJ6U1MVXOaj8PK2l7WJ3RER9xtqwdhxkhw/edit?usp=sharing"",""ฉะเชิงเทรา!I164"")"),0)</f>
        <v>0</v>
      </c>
      <c r="J369" s="204">
        <f ca="1">IFERROR(__xludf.DUMMYFUNCTION("IMPORTRANGE(""https://docs.google.com/spreadsheets/d/1SX6NBoVAgQJ6U1MVXOaj8PK2l7WJ3RER9xtqwdhxkhw/edit?usp=sharing"",""ฉะเชิงเทรา!J164"")"),0)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IFERROR(__xludf.DUMMYFUNCTION("IMPORTRANGE(""https://docs.google.com/spreadsheets/d/1SX6NBoVAgQJ6U1MVXOaj8PK2l7WJ3RER9xtqwdhxkhw/edit?usp=sharing"",""ฉะเชิงเทรา!I265"")"),54)</f>
        <v>54</v>
      </c>
      <c r="J370" s="204">
        <f ca="1">IFERROR(__xludf.DUMMYFUNCTION("IMPORTRANGE(""https://docs.google.com/spreadsheets/d/1SX6NBoVAgQJ6U1MVXOaj8PK2l7WJ3RER9xtqwdhxkhw/edit?usp=sharing"",""ฉะเชิงเทรา!J265"")"),54)</f>
        <v>54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IFERROR(__xludf.DUMMYFUNCTION("IMPORTRANGE(""https://docs.google.com/spreadsheets/d/1SX6NBoVAgQJ6U1MVXOaj8PK2l7WJ3RER9xtqwdhxkhw/edit?usp=sharing"",""ฉะเชิงเทรา!I164"")"),0)</f>
        <v>0</v>
      </c>
      <c r="J371" s="189">
        <f ca="1">IFERROR(__xludf.DUMMYFUNCTION("IMPORTRANGE(""https://docs.google.com/spreadsheets/d/1SX6NBoVAgQJ6U1MVXOaj8PK2l7WJ3RER9xtqwdhxkhw/edit?usp=sharing"",""ฉะเชิงเทรา!J164"")"),0)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IFERROR(__xludf.DUMMYFUNCTION("IMPORTRANGE(""https://docs.google.com/spreadsheets/d/1SX6NBoVAgQJ6U1MVXOaj8PK2l7WJ3RER9xtqwdhxkhw/edit?usp=sharing"",""ฉะเชิงเทรา!I267"")"),54)</f>
        <v>54</v>
      </c>
      <c r="J372" s="189">
        <f ca="1">IFERROR(__xludf.DUMMYFUNCTION("IMPORTRANGE(""https://docs.google.com/spreadsheets/d/1SX6NBoVAgQJ6U1MVXOaj8PK2l7WJ3RER9xtqwdhxkhw/edit?usp=sharing"",""ฉะเชิงเทรา!J267"")"),54)</f>
        <v>54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IFERROR(__xludf.DUMMYFUNCTION("IMPORTRANGE(""https://docs.google.com/spreadsheets/d/1SX6NBoVAgQJ6U1MVXOaj8PK2l7WJ3RER9xtqwdhxkhw/edit?usp=sharing"",""ฉะเชิงเทรา!I164"")"),0)</f>
        <v>0</v>
      </c>
      <c r="J373" s="204">
        <f ca="1">IFERROR(__xludf.DUMMYFUNCTION("IMPORTRANGE(""https://docs.google.com/spreadsheets/d/1SX6NBoVAgQJ6U1MVXOaj8PK2l7WJ3RER9xtqwdhxkhw/edit?usp=sharing"",""ฉะเชิงเทรา!J164"")"),0)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IFERROR(__xludf.DUMMYFUNCTION("IMPORTRANGE(""https://docs.google.com/spreadsheets/d/1SX6NBoVAgQJ6U1MVXOaj8PK2l7WJ3RER9xtqwdhxkhw/edit?usp=sharing"",""ฉะเชิงเทรา!I164"")"),0)</f>
        <v>0</v>
      </c>
      <c r="J374" s="188">
        <f ca="1">IFERROR(__xludf.DUMMYFUNCTION("IMPORTRANGE(""https://docs.google.com/spreadsheets/d/1SX6NBoVAgQJ6U1MVXOaj8PK2l7WJ3RER9xtqwdhxkhw/edit?usp=sharing"",""ฉะเชิงเทรา!J164"")"),0)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IFERROR(__xludf.DUMMYFUNCTION("IMPORTRANGE(""https://docs.google.com/spreadsheets/d/1SX6NBoVAgQJ6U1MVXOaj8PK2l7WJ3RER9xtqwdhxkhw/edit?usp=sharing"",""ฉะเชิงเทรา!I270"")"),64)</f>
        <v>64</v>
      </c>
      <c r="J375" s="188">
        <f ca="1">IFERROR(__xludf.DUMMYFUNCTION("IMPORTRANGE(""https://docs.google.com/spreadsheets/d/1SX6NBoVAgQJ6U1MVXOaj8PK2l7WJ3RER9xtqwdhxkhw/edit?usp=sharing"",""ฉะเชิงเทรา!J270"")"),64)</f>
        <v>64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IFERROR(__xludf.DUMMYFUNCTION("IMPORTRANGE(""https://docs.google.com/spreadsheets/d/1SX6NBoVAgQJ6U1MVXOaj8PK2l7WJ3RER9xtqwdhxkhw/edit?usp=sharing"",""ฉะเชิงเทรา!I271"")"),20)</f>
        <v>20</v>
      </c>
      <c r="J376" s="189">
        <f ca="1">IFERROR(__xludf.DUMMYFUNCTION("IMPORTRANGE(""https://docs.google.com/spreadsheets/d/1SX6NBoVAgQJ6U1MVXOaj8PK2l7WJ3RER9xtqwdhxkhw/edit?usp=sharing"",""ฉะเชิงเทรา!J271"")"),20)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IFERROR(__xludf.DUMMYFUNCTION("IMPORTRANGE(""https://docs.google.com/spreadsheets/d/1SX6NBoVAgQJ6U1MVXOaj8PK2l7WJ3RER9xtqwdhxkhw/edit?usp=sharing"",""ฉะเชิงเทรา!I272"")"),44)</f>
        <v>44</v>
      </c>
      <c r="J377" s="204">
        <f ca="1">IFERROR(__xludf.DUMMYFUNCTION("IMPORTRANGE(""https://docs.google.com/spreadsheets/d/1SX6NBoVAgQJ6U1MVXOaj8PK2l7WJ3RER9xtqwdhxkhw/edit?usp=sharing"",""ฉะเชิงเทรา!J272"")"),44)</f>
        <v>44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IFERROR(__xludf.DUMMYFUNCTION("IMPORTRANGE(""https://docs.google.com/spreadsheets/d/1SX6NBoVAgQJ6U1MVXOaj8PK2l7WJ3RER9xtqwdhxkhw/edit?usp=sharing"",""ฉะเชิงเทรา!J273"")"),0)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IFERROR(__xludf.DUMMYFUNCTION("IMPORTRANGE(""https://docs.google.com/spreadsheets/d/1SX6NBoVAgQJ6U1MVXOaj8PK2l7WJ3RER9xtqwdhxkhw/edit?usp=sharing"",""ฉะเชิงเทรา!J274"")"),0)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IFERROR(__xludf.DUMMYFUNCTION("IMPORTRANGE(""https://docs.google.com/spreadsheets/d/1SX6NBoVAgQJ6U1MVXOaj8PK2l7WJ3RER9xtqwdhxkhw/edit?usp=sharing"",""ฉะเชิงเทรา!M275"")"),650221.1)</f>
        <v>650221.1</v>
      </c>
      <c r="O380" s="373">
        <f ca="1">+IF(L380&gt;0,N380*100/L380,0)</f>
        <v>63.219101232839421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IFERROR(__xludf.DUMMYFUNCTION("IMPORTRANGE(""https://docs.google.com/spreadsheets/d/1SX6NBoVAgQJ6U1MVXOaj8PK2l7WJ3RER9xtqwdhxkhw/edit?usp=sharing"",""ฉะเชิงเทรา!L277"")"),0)</f>
        <v>0</v>
      </c>
      <c r="M382" s="164"/>
      <c r="N382" s="164">
        <f ca="1">IFERROR(__xludf.DUMMYFUNCTION("IMPORTRANGE(""https://docs.google.com/spreadsheets/d/1SX6NBoVAgQJ6U1MVXOaj8PK2l7WJ3RER9xtqwdhxkhw/edit?usp=sharing"",""ฉะเชิงเทรา!M277"")"),0)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IFERROR(__xludf.DUMMYFUNCTION("IMPORTRANGE(""https://docs.google.com/spreadsheets/d/1SX6NBoVAgQJ6U1MVXOaj8PK2l7WJ3RER9xtqwdhxkhw/edit?usp=sharing"",""ฉะเชิงเทรา!M278"")"),650221.1)</f>
        <v>650221.1</v>
      </c>
      <c r="O383" s="165">
        <f t="shared" ca="1" si="109"/>
        <v>63.219101232839421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IFERROR(__xludf.DUMMYFUNCTION("IMPORTRANGE(""https://docs.google.com/spreadsheets/d/1SX6NBoVAgQJ6U1MVXOaj8PK2l7WJ3RER9xtqwdhxkhw/edit?usp=sharing"",""ฉะเชิงเทรา!L279"")"),0)</f>
        <v>0</v>
      </c>
      <c r="M384" s="169"/>
      <c r="N384" s="169">
        <f ca="1">IFERROR(__xludf.DUMMYFUNCTION("IMPORTRANGE(""https://docs.google.com/spreadsheets/d/1SX6NBoVAgQJ6U1MVXOaj8PK2l7WJ3RER9xtqwdhxkhw/edit?usp=sharing"",""ฉะเชิงเทรา!M279"")"),0)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IFERROR(__xludf.DUMMYFUNCTION("IMPORTRANGE(""https://docs.google.com/spreadsheets/d/1SX6NBoVAgQJ6U1MVXOaj8PK2l7WJ3RER9xtqwdhxkhw/edit?usp=sharing"",""ฉะเชิงเทรา!M280"")"),650221.1)</f>
        <v>650221.1</v>
      </c>
      <c r="O385" s="169">
        <f t="shared" ca="1" si="109"/>
        <v>63.219101232839421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IFERROR(__xludf.DUMMYFUNCTION("IMPORTRANGE(""https://docs.google.com/spreadsheets/d/1SX6NBoVAgQJ6U1MVXOaj8PK2l7WJ3RER9xtqwdhxkhw/edit?usp=sharing"",""ฉะเชิงเทรา!M281"")"),198000)</f>
        <v>198000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IFERROR(__xludf.DUMMYFUNCTION("IMPORTRANGE(""https://docs.google.com/spreadsheets/d/1SX6NBoVAgQJ6U1MVXOaj8PK2l7WJ3RER9xtqwdhxkhw/edit?usp=sharing"",""ฉะเชิงเทรา!M282"")"),362321)</f>
        <v>362321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IFERROR(__xludf.DUMMYFUNCTION("IMPORTRANGE(""https://docs.google.com/spreadsheets/d/1SX6NBoVAgQJ6U1MVXOaj8PK2l7WJ3RER9xtqwdhxkhw/edit?usp=sharing"",""ฉะเชิงเทรา!M283"")"),71500.1)</f>
        <v>71500.100000000006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IFERROR(__xludf.DUMMYFUNCTION("IMPORTRANGE(""https://docs.google.com/spreadsheets/d/1SX6NBoVAgQJ6U1MVXOaj8PK2l7WJ3RER9xtqwdhxkhw/edit?usp=sharing"",""ฉะเชิงเทรา!M284"")"),18400)</f>
        <v>18400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IFERROR(__xludf.DUMMYFUNCTION("IMPORTRANGE(""https://docs.google.com/spreadsheets/d/1SX6NBoVAgQJ6U1MVXOaj8PK2l7WJ3RER9xtqwdhxkhw/edit?usp=sharing"",""ฉะเชิงเทรา!J286"")"),0)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IFERROR(__xludf.DUMMYFUNCTION("IMPORTRANGE(""https://docs.google.com/spreadsheets/d/1SX6NBoVAgQJ6U1MVXOaj8PK2l7WJ3RER9xtqwdhxkhw/edit?usp=sharing"",""ฉะเชิงเทรา!J287"")"),1)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IFERROR(__xludf.DUMMYFUNCTION("IMPORTRANGE(""https://docs.google.com/spreadsheets/d/1SX6NBoVAgQJ6U1MVXOaj8PK2l7WJ3RER9xtqwdhxkhw/edit?usp=sharing"",""ฉะเชิงเทรา!J288"")"),1)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IFERROR(__xludf.DUMMYFUNCTION("IMPORTRANGE(""https://docs.google.com/spreadsheets/d/1SX6NBoVAgQJ6U1MVXOaj8PK2l7WJ3RER9xtqwdhxkhw/edit?usp=sharing"",""ฉะเชิงเทรา!J289"")"),1)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IFERROR(__xludf.DUMMYFUNCTION("IMPORTRANGE(""https://docs.google.com/spreadsheets/d/1SX6NBoVAgQJ6U1MVXOaj8PK2l7WJ3RER9xtqwdhxkhw/edit?usp=sharing"",""ฉะเชิงเทรา!I291"")"),100)</f>
        <v>100</v>
      </c>
      <c r="J396" s="198">
        <f ca="1">IFERROR(__xludf.DUMMYFUNCTION("IMPORTRANGE(""https://docs.google.com/spreadsheets/d/1SX6NBoVAgQJ6U1MVXOaj8PK2l7WJ3RER9xtqwdhxkhw/edit?usp=sharing"",""ฉะเชิงเทรา!J291"")"),100)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IFERROR(__xludf.DUMMYFUNCTION("IMPORTRANGE(""https://docs.google.com/spreadsheets/d/1SX6NBoVAgQJ6U1MVXOaj8PK2l7WJ3RER9xtqwdhxkhw/edit?usp=sharing"",""ฉะเชิงเทรา!I292"")"),1000)</f>
        <v>1000</v>
      </c>
      <c r="J397" s="198">
        <f ca="1">IFERROR(__xludf.DUMMYFUNCTION("IMPORTRANGE(""https://docs.google.com/spreadsheets/d/1SX6NBoVAgQJ6U1MVXOaj8PK2l7WJ3RER9xtqwdhxkhw/edit?usp=sharing"",""ฉะเชิงเทรา!J292"")"),1000)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IFERROR(__xludf.DUMMYFUNCTION("IMPORTRANGE(""https://docs.google.com/spreadsheets/d/1SX6NBoVAgQJ6U1MVXOaj8PK2l7WJ3RER9xtqwdhxkhw/edit?usp=sharing"",""ฉะเชิงเทรา!I293"")"),100)</f>
        <v>100</v>
      </c>
      <c r="J398" s="198">
        <f ca="1">IFERROR(__xludf.DUMMYFUNCTION("IMPORTRANGE(""https://docs.google.com/spreadsheets/d/1SX6NBoVAgQJ6U1MVXOaj8PK2l7WJ3RER9xtqwdhxkhw/edit?usp=sharing"",""ฉะเชิงเทรา!J293"")"),100)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IFERROR(__xludf.DUMMYFUNCTION("IMPORTRANGE(""https://docs.google.com/spreadsheets/d/1SX6NBoVAgQJ6U1MVXOaj8PK2l7WJ3RER9xtqwdhxkhw/edit?usp=sharing"",""ฉะเชิงเทรา!J294"")"),0)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IFERROR(__xludf.DUMMYFUNCTION("IMPORTRANGE(""https://docs.google.com/spreadsheets/d/1SX6NBoVAgQJ6U1MVXOaj8PK2l7WJ3RER9xtqwdhxkhw/edit?usp=sharing"",""ฉะเชิงเทรา!J295"")"),0)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IFERROR(__xludf.DUMMYFUNCTION("IMPORTRANGE(""https://docs.google.com/spreadsheets/d/1SX6NBoVAgQJ6U1MVXOaj8PK2l7WJ3RER9xtqwdhxkhw/edit?usp=sharing"",""ฉะเชิงเทรา!M296"")"),244480)</f>
        <v>244480</v>
      </c>
      <c r="O401" s="373">
        <f ca="1">+IF(L401&gt;0,N401*100/L401,0)</f>
        <v>91.387559808612437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IFERROR(__xludf.DUMMYFUNCTION("IMPORTRANGE(""https://docs.google.com/spreadsheets/d/1SX6NBoVAgQJ6U1MVXOaj8PK2l7WJ3RER9xtqwdhxkhw/edit?usp=sharing"",""ฉะเชิงเทรา!L298"")"),0)</f>
        <v>0</v>
      </c>
      <c r="M403" s="164"/>
      <c r="N403" s="169">
        <f ca="1">IFERROR(__xludf.DUMMYFUNCTION("IMPORTRANGE(""https://docs.google.com/spreadsheets/d/1SX6NBoVAgQJ6U1MVXOaj8PK2l7WJ3RER9xtqwdhxkhw/edit?usp=sharing"",""ฉะเชิงเทรา!M298"")"),0)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5"/>
      <c r="N404" s="169">
        <f ca="1">IFERROR(__xludf.DUMMYFUNCTION("IMPORTRANGE(""https://docs.google.com/spreadsheets/d/1SX6NBoVAgQJ6U1MVXOaj8PK2l7WJ3RER9xtqwdhxkhw/edit?usp=sharing"",""ฉะเชิงเทรา!M299"")"),244480)</f>
        <v>244480</v>
      </c>
      <c r="O404" s="169">
        <f t="shared" ca="1" si="112"/>
        <v>91.387559808612437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IFERROR(__xludf.DUMMYFUNCTION("IMPORTRANGE(""https://docs.google.com/spreadsheets/d/1SX6NBoVAgQJ6U1MVXOaj8PK2l7WJ3RER9xtqwdhxkhw/edit?usp=sharing"",""ฉะเชิงเทรา!L300"")"),0)</f>
        <v>0</v>
      </c>
      <c r="M405" s="169"/>
      <c r="N405" s="169">
        <f ca="1">IFERROR(__xludf.DUMMYFUNCTION("IMPORTRANGE(""https://docs.google.com/spreadsheets/d/1SX6NBoVAgQJ6U1MVXOaj8PK2l7WJ3RER9xtqwdhxkhw/edit?usp=sharing"",""ฉะเชิงเทรา!M300"")"),0)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IFERROR(__xludf.DUMMYFUNCTION("IMPORTRANGE(""https://docs.google.com/spreadsheets/d/1SX6NBoVAgQJ6U1MVXOaj8PK2l7WJ3RER9xtqwdhxkhw/edit?usp=sharing"",""ฉะเชิงเทรา!L301"")"),267520)</f>
        <v>267520</v>
      </c>
      <c r="M406" s="169"/>
      <c r="N406" s="169">
        <f ca="1">IFERROR(__xludf.DUMMYFUNCTION("IMPORTRANGE(""https://docs.google.com/spreadsheets/d/1SX6NBoVAgQJ6U1MVXOaj8PK2l7WJ3RER9xtqwdhxkhw/edit?usp=sharing"",""ฉะเชิงเทรา!M301"")"),244480)</f>
        <v>244480</v>
      </c>
      <c r="O406" s="169">
        <f t="shared" ca="1" si="112"/>
        <v>91.387559808612437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IFERROR(__xludf.DUMMYFUNCTION("IMPORTRANGE(""https://docs.google.com/spreadsheets/d/1SX6NBoVAgQJ6U1MVXOaj8PK2l7WJ3RER9xtqwdhxkhw/edit?usp=sharing"",""ฉะเชิงเทรา!M302"")"),156780)</f>
        <v>156780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IFERROR(__xludf.DUMMYFUNCTION("IMPORTRANGE(""https://docs.google.com/spreadsheets/d/1SX6NBoVAgQJ6U1MVXOaj8PK2l7WJ3RER9xtqwdhxkhw/edit?usp=sharing"",""ฉะเชิงเทรา!M305"")"),14700)</f>
        <v>14700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IFERROR(__xludf.DUMMYFUNCTION("IMPORTRANGE(""https://docs.google.com/spreadsheets/d/1SX6NBoVAgQJ6U1MVXOaj8PK2l7WJ3RER9xtqwdhxkhw/edit?usp=sharing"",""ฉะเชิงเทรา!J307"")"),0)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IFERROR(__xludf.DUMMYFUNCTION("IMPORTRANGE(""https://docs.google.com/spreadsheets/d/1SX6NBoVAgQJ6U1MVXOaj8PK2l7WJ3RER9xtqwdhxkhw/edit?usp=sharing"",""ฉะเชิงเทรา!J308"")"),1)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IFERROR(__xludf.DUMMYFUNCTION("IMPORTRANGE(""https://docs.google.com/spreadsheets/d/1SX6NBoVAgQJ6U1MVXOaj8PK2l7WJ3RER9xtqwdhxkhw/edit?usp=sharing"",""ฉะเชิงเทรา!J309"")"),1)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IFERROR(__xludf.DUMMYFUNCTION("IMPORTRANGE(""https://docs.google.com/spreadsheets/d/1SX6NBoVAgQJ6U1MVXOaj8PK2l7WJ3RER9xtqwdhxkhw/edit?usp=sharing"",""ฉะเชิงเทรา!J310"")"),1)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IFERROR(__xludf.DUMMYFUNCTION("IMPORTRANGE(""https://docs.google.com/spreadsheets/d/1SX6NBoVAgQJ6U1MVXOaj8PK2l7WJ3RER9xtqwdhxkhw/edit?usp=sharing"",""ฉะเชิงเทรา!I311"")"),80)</f>
        <v>80</v>
      </c>
      <c r="J416" s="201">
        <f ca="1">IFERROR(__xludf.DUMMYFUNCTION("IMPORTRANGE(""https://docs.google.com/spreadsheets/d/1SX6NBoVAgQJ6U1MVXOaj8PK2l7WJ3RER9xtqwdhxkhw/edit?usp=sharing"",""ฉะเชิงเทรา!J311"")"),80)</f>
        <v>80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IFERROR(__xludf.DUMMYFUNCTION("IMPORTRANGE(""https://docs.google.com/spreadsheets/d/1SX6NBoVAgQJ6U1MVXOaj8PK2l7WJ3RER9xtqwdhxkhw/edit?usp=sharing"",""ฉะเชิงเทรา!J328"")"),0)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IFERROR(__xludf.DUMMYFUNCTION("IMPORTRANGE(""https://docs.google.com/spreadsheets/d/1SX6NBoVAgQJ6U1MVXOaj8PK2l7WJ3RER9xtqwdhxkhw/edit?usp=sharing"",""ฉะเชิงเทรา!J329"")"),0)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IFERROR(__xludf.DUMMYFUNCTION("IMPORTRANGE(""https://docs.google.com/spreadsheets/d/1SX6NBoVAgQJ6U1MVXOaj8PK2l7WJ3RER9xtqwdhxkhw/edit?usp=sharing"",""ฉะเชิงเทรา!M330"")"),159150)</f>
        <v>159150</v>
      </c>
      <c r="O435" s="412">
        <f t="shared" ref="O435:O439" ca="1" si="114">+IF(L435&gt;0,N435*100/L435,0)</f>
        <v>86.494565217391298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IFERROR(__xludf.DUMMYFUNCTION("IMPORTRANGE(""https://docs.google.com/spreadsheets/d/1SX6NBoVAgQJ6U1MVXOaj8PK2l7WJ3RER9xtqwdhxkhw/edit?usp=sharing"",""ฉะเชิงเทรา!L331"")"),0)</f>
        <v>0</v>
      </c>
      <c r="M436" s="164"/>
      <c r="N436" s="169">
        <f ca="1">IFERROR(__xludf.DUMMYFUNCTION("IMPORTRANGE(""https://docs.google.com/spreadsheets/d/1SX6NBoVAgQJ6U1MVXOaj8PK2l7WJ3RER9xtqwdhxkhw/edit?usp=sharing"",""ฉะเชิงเทรา!M331"")"),0)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5"/>
      <c r="N437" s="169">
        <f ca="1">IFERROR(__xludf.DUMMYFUNCTION("IMPORTRANGE(""https://docs.google.com/spreadsheets/d/1SX6NBoVAgQJ6U1MVXOaj8PK2l7WJ3RER9xtqwdhxkhw/edit?usp=sharing"",""ฉะเชิงเทรา!M332"")"),159150)</f>
        <v>159150</v>
      </c>
      <c r="O437" s="169">
        <f t="shared" ca="1" si="114"/>
        <v>86.494565217391298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IFERROR(__xludf.DUMMYFUNCTION("IMPORTRANGE(""https://docs.google.com/spreadsheets/d/1SX6NBoVAgQJ6U1MVXOaj8PK2l7WJ3RER9xtqwdhxkhw/edit?usp=sharing"",""ฉะเชิงเทรา!L333"")"),0)</f>
        <v>0</v>
      </c>
      <c r="M438" s="169"/>
      <c r="N438" s="169">
        <f ca="1">IFERROR(__xludf.DUMMYFUNCTION("IMPORTRANGE(""https://docs.google.com/spreadsheets/d/1SX6NBoVAgQJ6U1MVXOaj8PK2l7WJ3RER9xtqwdhxkhw/edit?usp=sharing"",""ฉะเชิงเทรา!M333"")"),0)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IFERROR(__xludf.DUMMYFUNCTION("IMPORTRANGE(""https://docs.google.com/spreadsheets/d/1SX6NBoVAgQJ6U1MVXOaj8PK2l7WJ3RER9xtqwdhxkhw/edit?usp=sharing"",""ฉะเชิงเทรา!L334"")"),184000)</f>
        <v>184000</v>
      </c>
      <c r="M439" s="169"/>
      <c r="N439" s="169">
        <f ca="1">IFERROR(__xludf.DUMMYFUNCTION("IMPORTRANGE(""https://docs.google.com/spreadsheets/d/1SX6NBoVAgQJ6U1MVXOaj8PK2l7WJ3RER9xtqwdhxkhw/edit?usp=sharing"",""ฉะเชิงเทรา!M334"")"),159150)</f>
        <v>159150</v>
      </c>
      <c r="O439" s="169">
        <f t="shared" ca="1" si="114"/>
        <v>86.494565217391298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IFERROR(__xludf.DUMMYFUNCTION("IMPORTRANGE(""https://docs.google.com/spreadsheets/d/1SX6NBoVAgQJ6U1MVXOaj8PK2l7WJ3RER9xtqwdhxkhw/edit?usp=sharing"",""ฉะเชิงเทรา!M338"")"),25950)</f>
        <v>25950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IFERROR(__xludf.DUMMYFUNCTION("IMPORTRANGE(""https://docs.google.com/spreadsheets/d/1SX6NBoVAgQJ6U1MVXOaj8PK2l7WJ3RER9xtqwdhxkhw/edit?usp=sharing"",""ฉะเชิงเทรา!J340"")"),0)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IFERROR(__xludf.DUMMYFUNCTION("IMPORTRANGE(""https://docs.google.com/spreadsheets/d/1SX6NBoVAgQJ6U1MVXOaj8PK2l7WJ3RER9xtqwdhxkhw/edit?usp=sharing"",""ฉะเชิงเทรา!J341"")"),1)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IFERROR(__xludf.DUMMYFUNCTION("IMPORTRANGE(""https://docs.google.com/spreadsheets/d/1SX6NBoVAgQJ6U1MVXOaj8PK2l7WJ3RER9xtqwdhxkhw/edit?usp=sharing"",""ฉะเชิงเทรา!J342"")"),1)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IFERROR(__xludf.DUMMYFUNCTION("IMPORTRANGE(""https://docs.google.com/spreadsheets/d/1SX6NBoVAgQJ6U1MVXOaj8PK2l7WJ3RER9xtqwdhxkhw/edit?usp=sharing"",""ฉะเชิงเทรา!J343"")"),1)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1">
        <f ca="1">IFERROR(__xludf.DUMMYFUNCTION("IMPORTRANGE(""https://docs.google.com/spreadsheets/d/1SX6NBoVAgQJ6U1MVXOaj8PK2l7WJ3RER9xtqwdhxkhw/edit?usp=sharing"",""ฉะเชิงเทรา!J344"")"),60)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IFERROR(__xludf.DUMMYFUNCTION("IMPORTRANGE(""https://docs.google.com/spreadsheets/d/1SX6NBoVAgQJ6U1MVXOaj8PK2l7WJ3RER9xtqwdhxkhw/edit?usp=sharing"",""ฉะเชิงเทรา!I345"")"),40)</f>
        <v>40</v>
      </c>
      <c r="J450" s="189">
        <f ca="1">IFERROR(__xludf.DUMMYFUNCTION("IMPORTRANGE(""https://docs.google.com/spreadsheets/d/1SX6NBoVAgQJ6U1MVXOaj8PK2l7WJ3RER9xtqwdhxkhw/edit?usp=sharing"",""ฉะเชิงเทรา!J345"")"),40)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IFERROR(__xludf.DUMMYFUNCTION("IMPORTRANGE(""https://docs.google.com/spreadsheets/d/1SX6NBoVAgQJ6U1MVXOaj8PK2l7WJ3RER9xtqwdhxkhw/edit?usp=sharing"",""ฉะเชิงเทรา!I346"")"),20)</f>
        <v>20</v>
      </c>
      <c r="J451" s="188">
        <f ca="1">IFERROR(__xludf.DUMMYFUNCTION("IMPORTRANGE(""https://docs.google.com/spreadsheets/d/1SX6NBoVAgQJ6U1MVXOaj8PK2l7WJ3RER9xtqwdhxkhw/edit?usp=sharing"",""ฉะเชิงเทรา!J346"")"),20)</f>
        <v>20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IFERROR(__xludf.DUMMYFUNCTION("IMPORTRANGE(""https://docs.google.com/spreadsheets/d/1SX6NBoVAgQJ6U1MVXOaj8PK2l7WJ3RER9xtqwdhxkhw/edit?usp=sharing"",""ฉะเชิงเทรา!I347"")"),0)</f>
        <v>0</v>
      </c>
      <c r="J452" s="188">
        <f ca="1">IFERROR(__xludf.DUMMYFUNCTION("IMPORTRANGE(""https://docs.google.com/spreadsheets/d/1SX6NBoVAgQJ6U1MVXOaj8PK2l7WJ3RER9xtqwdhxkhw/edit?usp=sharing"",""ฉะเชิงเทรา!J347"")"),0)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IFERROR(__xludf.DUMMYFUNCTION("IMPORTRANGE(""https://docs.google.com/spreadsheets/d/1SX6NBoVAgQJ6U1MVXOaj8PK2l7WJ3RER9xtqwdhxkhw/edit?usp=sharing"",""ฉะเชิงเทรา!J348"")"),0)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IFERROR(__xludf.DUMMYFUNCTION("IMPORTRANGE(""https://docs.google.com/spreadsheets/d/1SX6NBoVAgQJ6U1MVXOaj8PK2l7WJ3RER9xtqwdhxkhw/edit?usp=sharing"",""ฉะเชิงเทรา!J349"")"),0)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IFERROR(__xludf.DUMMYFUNCTION("IMPORTRANGE(""https://docs.google.com/spreadsheets/d/1SX6NBoVAgQJ6U1MVXOaj8PK2l7WJ3RER9xtqwdhxkhw/edit?usp=sharing"",""ฉะเชิงเทรา!L350"")"),381379)</f>
        <v>381379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IFERROR(__xludf.DUMMYFUNCTION("IMPORTRANGE(""https://docs.google.com/spreadsheets/d/1SX6NBoVAgQJ6U1MVXOaj8PK2l7WJ3RER9xtqwdhxkhw/edit?usp=sharing"",""ฉะเชิงเทรา!M350"")"),106577)</f>
        <v>106577</v>
      </c>
      <c r="O455" s="373">
        <f t="shared" ref="O455:O459" ca="1" si="116">+IF(L455&gt;0,N455*100/L455,0)</f>
        <v>27.945167405651596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IFERROR(__xludf.DUMMYFUNCTION("IMPORTRANGE(""https://docs.google.com/spreadsheets/d/1SX6NBoVAgQJ6U1MVXOaj8PK2l7WJ3RER9xtqwdhxkhw/edit?usp=sharing"",""ฉะเชิงเทรา!L351"")"),0)</f>
        <v>0</v>
      </c>
      <c r="M456" s="164"/>
      <c r="N456" s="169">
        <f ca="1">IFERROR(__xludf.DUMMYFUNCTION("IMPORTRANGE(""https://docs.google.com/spreadsheets/d/1SX6NBoVAgQJ6U1MVXOaj8PK2l7WJ3RER9xtqwdhxkhw/edit?usp=sharing"",""ฉะเชิงเทรา!M351"")"),0)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IFERROR(__xludf.DUMMYFUNCTION("IMPORTRANGE(""https://docs.google.com/spreadsheets/d/1SX6NBoVAgQJ6U1MVXOaj8PK2l7WJ3RER9xtqwdhxkhw/edit?usp=sharing"",""ฉะเชิงเทรา!L352"")"),381379)</f>
        <v>381379</v>
      </c>
      <c r="M457" s="165"/>
      <c r="N457" s="169">
        <f ca="1">IFERROR(__xludf.DUMMYFUNCTION("IMPORTRANGE(""https://docs.google.com/spreadsheets/d/1SX6NBoVAgQJ6U1MVXOaj8PK2l7WJ3RER9xtqwdhxkhw/edit?usp=sharing"",""ฉะเชิงเทรา!M352"")"),106577)</f>
        <v>106577</v>
      </c>
      <c r="O457" s="169">
        <f t="shared" ca="1" si="116"/>
        <v>27.945167405651596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IFERROR(__xludf.DUMMYFUNCTION("IMPORTRANGE(""https://docs.google.com/spreadsheets/d/1SX6NBoVAgQJ6U1MVXOaj8PK2l7WJ3RER9xtqwdhxkhw/edit?usp=sharing"",""ฉะเชิงเทรา!L353"")"),0)</f>
        <v>0</v>
      </c>
      <c r="M458" s="169"/>
      <c r="N458" s="169">
        <f ca="1">IFERROR(__xludf.DUMMYFUNCTION("IMPORTRANGE(""https://docs.google.com/spreadsheets/d/1SX6NBoVAgQJ6U1MVXOaj8PK2l7WJ3RER9xtqwdhxkhw/edit?usp=sharing"",""ฉะเชิงเทรา!M353"")"),0)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IFERROR(__xludf.DUMMYFUNCTION("IMPORTRANGE(""https://docs.google.com/spreadsheets/d/1SX6NBoVAgQJ6U1MVXOaj8PK2l7WJ3RER9xtqwdhxkhw/edit?usp=sharing"",""ฉะเชิงเทรา!L354"")"),381379)</f>
        <v>381379</v>
      </c>
      <c r="M459" s="169"/>
      <c r="N459" s="169">
        <f ca="1">IFERROR(__xludf.DUMMYFUNCTION("IMPORTRANGE(""https://docs.google.com/spreadsheets/d/1SX6NBoVAgQJ6U1MVXOaj8PK2l7WJ3RER9xtqwdhxkhw/edit?usp=sharing"",""ฉะเชิงเทรา!M354"")"),106577)</f>
        <v>106577</v>
      </c>
      <c r="O459" s="169">
        <f t="shared" ca="1" si="116"/>
        <v>27.945167405651596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IFERROR(__xludf.DUMMYFUNCTION("IMPORTRANGE(""https://docs.google.com/spreadsheets/d/1SX6NBoVAgQJ6U1MVXOaj8PK2l7WJ3RER9xtqwdhxkhw/edit?usp=sharing"",""ฉะเชิงเทรา!M355"")"),0)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IFERROR(__xludf.DUMMYFUNCTION("IMPORTRANGE(""https://docs.google.com/spreadsheets/d/1SX6NBoVAgQJ6U1MVXOaj8PK2l7WJ3RER9xtqwdhxkhw/edit?usp=sharing"",""ฉะเชิงเทรา!M356"")"),0)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IFERROR(__xludf.DUMMYFUNCTION("IMPORTRANGE(""https://docs.google.com/spreadsheets/d/1SX6NBoVAgQJ6U1MVXOaj8PK2l7WJ3RER9xtqwdhxkhw/edit?usp=sharing"",""ฉะเชิงเทรา!M358"")"),106577)</f>
        <v>106577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IFERROR(__xludf.DUMMYFUNCTION("IMPORTRANGE(""https://docs.google.com/spreadsheets/d/1SX6NBoVAgQJ6U1MVXOaj8PK2l7WJ3RER9xtqwdhxkhw/edit?usp=sharing"",""ฉะเชิงเทรา!I359"")"),24902)</f>
        <v>24902</v>
      </c>
      <c r="J464" s="268">
        <f ca="1">IFERROR(__xludf.DUMMYFUNCTION("IMPORTRANGE(""https://docs.google.com/spreadsheets/d/1SX6NBoVAgQJ6U1MVXOaj8PK2l7WJ3RER9xtqwdhxkhw/edit?usp=sharing"",""ฉะเชิงเทรา!J359"")"),0)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2">
        <f t="shared" ca="1" si="117"/>
        <v>99.945849730945312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IFERROR(__xludf.DUMMYFUNCTION("IMPORTRANGE(""https://docs.google.com/spreadsheets/d/1SX6NBoVAgQJ6U1MVXOaj8PK2l7WJ3RER9xtqwdhxkhw/edit?usp=sharing"",""ฉะเชิงเทรา!J361"")"),2366)</f>
        <v>2366</v>
      </c>
      <c r="K466" s="202">
        <f t="shared" ca="1" si="117"/>
        <v>99.957752429235313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IFERROR(__xludf.DUMMYFUNCTION("IMPORTRANGE(""https://docs.google.com/spreadsheets/d/1SX6NBoVAgQJ6U1MVXOaj8PK2l7WJ3RER9xtqwdhxkhw/edit?usp=sharing"",""ฉะเชิงเทรา!I362"")"),0)</f>
        <v>0</v>
      </c>
      <c r="J467" s="189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IFERROR(__xludf.DUMMYFUNCTION("IMPORTRANGE(""https://docs.google.com/spreadsheets/d/1SX6NBoVAgQJ6U1MVXOaj8PK2l7WJ3RER9xtqwdhxkhw/edit?usp=sharing"",""ฉะเชิงเทรา!I363"")"),0)</f>
        <v>0</v>
      </c>
      <c r="J468" s="189">
        <f ca="1">IFERROR(__xludf.DUMMYFUNCTION("IMPORTRANGE(""https://docs.google.com/spreadsheets/d/1SX6NBoVAgQJ6U1MVXOaj8PK2l7WJ3RER9xtqwdhxkhw/edit?usp=sharing"",""ฉะเชิงเทรา!J363"")"),1818)</f>
        <v>1818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IFERROR(__xludf.DUMMYFUNCTION("IMPORTRANGE(""https://docs.google.com/spreadsheets/d/1SX6NBoVAgQJ6U1MVXOaj8PK2l7WJ3RER9xtqwdhxkhw/edit?usp=sharing"",""ฉะเชิงเทรา!I364"")"),0)</f>
        <v>0</v>
      </c>
      <c r="J469" s="189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IFERROR(__xludf.DUMMYFUNCTION("IMPORTRANGE(""https://docs.google.com/spreadsheets/d/1SX6NBoVAgQJ6U1MVXOaj8PK2l7WJ3RER9xtqwdhxkhw/edit?usp=sharing"",""ฉะเชิงเทรา!I365"")"),0)</f>
        <v>0</v>
      </c>
      <c r="J470" s="189">
        <f ca="1">IFERROR(__xludf.DUMMYFUNCTION("IMPORTRANGE(""https://docs.google.com/spreadsheets/d/1SX6NBoVAgQJ6U1MVXOaj8PK2l7WJ3RER9xtqwdhxkhw/edit?usp=sharing"",""ฉะเชิงเทรา!J365"")"),319)</f>
        <v>319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IFERROR(__xludf.DUMMYFUNCTION("IMPORTRANGE(""https://docs.google.com/spreadsheets/d/1SX6NBoVAgQJ6U1MVXOaj8PK2l7WJ3RER9xtqwdhxkhw/edit?usp=sharing"",""ฉะเชิงเทรา!I366"")"),0)</f>
        <v>0</v>
      </c>
      <c r="J471" s="189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IFERROR(__xludf.DUMMYFUNCTION("IMPORTRANGE(""https://docs.google.com/spreadsheets/d/1SX6NBoVAgQJ6U1MVXOaj8PK2l7WJ3RER9xtqwdhxkhw/edit?usp=sharing"",""ฉะเชิงเทรา!I367"")"),0)</f>
        <v>0</v>
      </c>
      <c r="J472" s="189">
        <f ca="1">IFERROR(__xludf.DUMMYFUNCTION("IMPORTRANGE(""https://docs.google.com/spreadsheets/d/1SX6NBoVAgQJ6U1MVXOaj8PK2l7WJ3RER9xtqwdhxkhw/edit?usp=sharing"",""ฉะเชิงเทรา!J367"")"),229)</f>
        <v>229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2">
        <f t="shared" ca="1" si="117"/>
        <v>99.945807565656963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IFERROR(__xludf.DUMMYFUNCTION("IMPORTRANGE(""https://docs.google.com/spreadsheets/d/1SX6NBoVAgQJ6U1MVXOaj8PK2l7WJ3RER9xtqwdhxkhw/edit?usp=sharing"",""ฉะเชิงเทรา!J369"")"),2366)</f>
        <v>2366</v>
      </c>
      <c r="K474" s="163">
        <f t="shared" ca="1" si="117"/>
        <v>99.957752429235313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IFERROR(__xludf.DUMMYFUNCTION("IMPORTRANGE(""https://docs.google.com/spreadsheets/d/1SX6NBoVAgQJ6U1MVXOaj8PK2l7WJ3RER9xtqwdhxkhw/edit?usp=sharing"",""ฉะเชิงเทรา!I370"")"),0)</f>
        <v>0</v>
      </c>
      <c r="J475" s="189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IFERROR(__xludf.DUMMYFUNCTION("IMPORTRANGE(""https://docs.google.com/spreadsheets/d/1SX6NBoVAgQJ6U1MVXOaj8PK2l7WJ3RER9xtqwdhxkhw/edit?usp=sharing"",""ฉะเชิงเทรา!I371"")"),0)</f>
        <v>0</v>
      </c>
      <c r="J476" s="189">
        <f ca="1">IFERROR(__xludf.DUMMYFUNCTION("IMPORTRANGE(""https://docs.google.com/spreadsheets/d/1SX6NBoVAgQJ6U1MVXOaj8PK2l7WJ3RER9xtqwdhxkhw/edit?usp=sharing"",""ฉะเชิงเทรา!J371"")"),1841)</f>
        <v>1841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IFERROR(__xludf.DUMMYFUNCTION("IMPORTRANGE(""https://docs.google.com/spreadsheets/d/1SX6NBoVAgQJ6U1MVXOaj8PK2l7WJ3RER9xtqwdhxkhw/edit?usp=sharing"",""ฉะเชิงเทรา!I372"")"),0)</f>
        <v>0</v>
      </c>
      <c r="J477" s="189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IFERROR(__xludf.DUMMYFUNCTION("IMPORTRANGE(""https://docs.google.com/spreadsheets/d/1SX6NBoVAgQJ6U1MVXOaj8PK2l7WJ3RER9xtqwdhxkhw/edit?usp=sharing"",""ฉะเชิงเทรา!I373"")"),0)</f>
        <v>0</v>
      </c>
      <c r="J478" s="189">
        <f ca="1">IFERROR(__xludf.DUMMYFUNCTION("IMPORTRANGE(""https://docs.google.com/spreadsheets/d/1SX6NBoVAgQJ6U1MVXOaj8PK2l7WJ3RER9xtqwdhxkhw/edit?usp=sharing"",""ฉะเชิงเทรา!J373"")"),294)</f>
        <v>294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IFERROR(__xludf.DUMMYFUNCTION("IMPORTRANGE(""https://docs.google.com/spreadsheets/d/1SX6NBoVAgQJ6U1MVXOaj8PK2l7WJ3RER9xtqwdhxkhw/edit?usp=sharing"",""ฉะเชิงเทรา!I374"")"),0)</f>
        <v>0</v>
      </c>
      <c r="J479" s="189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IFERROR(__xludf.DUMMYFUNCTION("IMPORTRANGE(""https://docs.google.com/spreadsheets/d/1SX6NBoVAgQJ6U1MVXOaj8PK2l7WJ3RER9xtqwdhxkhw/edit?usp=sharing"",""ฉะเชิงเทรา!I375"")"),0)</f>
        <v>0</v>
      </c>
      <c r="J480" s="189">
        <f ca="1">IFERROR(__xludf.DUMMYFUNCTION("IMPORTRANGE(""https://docs.google.com/spreadsheets/d/1SX6NBoVAgQJ6U1MVXOaj8PK2l7WJ3RER9xtqwdhxkhw/edit?usp=sharing"",""ฉะเชิงเทรา!J375"")"),231)</f>
        <v>231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IFERROR(__xludf.DUMMYFUNCTION("IMPORTRANGE(""https://docs.google.com/spreadsheets/d/1SX6NBoVAgQJ6U1MVXOaj8PK2l7WJ3RER9xtqwdhxkhw/edit?usp=sharing"",""ฉะเชิงเทรา!I378"")"),0)</f>
        <v>0</v>
      </c>
      <c r="J483" s="189">
        <f ca="1">IFERROR(__xludf.DUMMYFUNCTION("IMPORTRANGE(""https://docs.google.com/spreadsheets/d/1SX6NBoVAgQJ6U1MVXOaj8PK2l7WJ3RER9xtqwdhxkhw/edit?usp=sharing"",""ฉะเชิงเทรา!J378"")"),0)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IFERROR(__xludf.DUMMYFUNCTION("IMPORTRANGE(""https://docs.google.com/spreadsheets/d/1SX6NBoVAgQJ6U1MVXOaj8PK2l7WJ3RER9xtqwdhxkhw/edit?usp=sharing"",""ฉะเชิงเทรา!I379"")"),0)</f>
        <v>0</v>
      </c>
      <c r="J484" s="189">
        <f ca="1">IFERROR(__xludf.DUMMYFUNCTION("IMPORTRANGE(""https://docs.google.com/spreadsheets/d/1SX6NBoVAgQJ6U1MVXOaj8PK2l7WJ3RER9xtqwdhxkhw/edit?usp=sharing"",""ฉะเชิงเทรา!J379"")"),0)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IFERROR(__xludf.DUMMYFUNCTION("IMPORTRANGE(""https://docs.google.com/spreadsheets/d/1SX6NBoVAgQJ6U1MVXOaj8PK2l7WJ3RER9xtqwdhxkhw/edit?usp=sharing"",""ฉะเชิงเทรา!I380"")"),0)</f>
        <v>0</v>
      </c>
      <c r="J485" s="189">
        <f ca="1">IFERROR(__xludf.DUMMYFUNCTION("IMPORTRANGE(""https://docs.google.com/spreadsheets/d/1SX6NBoVAgQJ6U1MVXOaj8PK2l7WJ3RER9xtqwdhxkhw/edit?usp=sharing"",""ฉะเชิงเทรา!J380"")"),0)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IFERROR(__xludf.DUMMYFUNCTION("IMPORTRANGE(""https://docs.google.com/spreadsheets/d/1SX6NBoVAgQJ6U1MVXOaj8PK2l7WJ3RER9xtqwdhxkhw/edit?usp=sharing"",""ฉะเชิงเทรา!I381"")"),0)</f>
        <v>0</v>
      </c>
      <c r="J486" s="189">
        <f ca="1">IFERROR(__xludf.DUMMYFUNCTION("IMPORTRANGE(""https://docs.google.com/spreadsheets/d/1SX6NBoVAgQJ6U1MVXOaj8PK2l7WJ3RER9xtqwdhxkhw/edit?usp=sharing"",""ฉะเชิงเทรา!J381"")"),0)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IFERROR(__xludf.DUMMYFUNCTION("IMPORTRANGE(""https://docs.google.com/spreadsheets/d/1SX6NBoVAgQJ6U1MVXOaj8PK2l7WJ3RER9xtqwdhxkhw/edit?usp=sharing"",""ฉะเชิงเทรา!I384"")"),0)</f>
        <v>0</v>
      </c>
      <c r="J489" s="189">
        <f ca="1">IFERROR(__xludf.DUMMYFUNCTION("IMPORTRANGE(""https://docs.google.com/spreadsheets/d/1SX6NBoVAgQJ6U1MVXOaj8PK2l7WJ3RER9xtqwdhxkhw/edit?usp=sharing"",""ฉะเชิงเทรา!J384"")"),0)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IFERROR(__xludf.DUMMYFUNCTION("IMPORTRANGE(""https://docs.google.com/spreadsheets/d/1SX6NBoVAgQJ6U1MVXOaj8PK2l7WJ3RER9xtqwdhxkhw/edit?usp=sharing"",""ฉะเชิงเทรา!I385"")"),0)</f>
        <v>0</v>
      </c>
      <c r="J490" s="189">
        <f ca="1">IFERROR(__xludf.DUMMYFUNCTION("IMPORTRANGE(""https://docs.google.com/spreadsheets/d/1SX6NBoVAgQJ6U1MVXOaj8PK2l7WJ3RER9xtqwdhxkhw/edit?usp=sharing"",""ฉะเชิงเทรา!J385"")"),0)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IFERROR(__xludf.DUMMYFUNCTION("IMPORTRANGE(""https://docs.google.com/spreadsheets/d/1SX6NBoVAgQJ6U1MVXOaj8PK2l7WJ3RER9xtqwdhxkhw/edit?usp=sharing"",""ฉะเชิงเทรา!I386"")"),0)</f>
        <v>0</v>
      </c>
      <c r="J491" s="189">
        <f ca="1">IFERROR(__xludf.DUMMYFUNCTION("IMPORTRANGE(""https://docs.google.com/spreadsheets/d/1SX6NBoVAgQJ6U1MVXOaj8PK2l7WJ3RER9xtqwdhxkhw/edit?usp=sharing"",""ฉะเชิงเทรา!J386"")"),0)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IFERROR(__xludf.DUMMYFUNCTION("IMPORTRANGE(""https://docs.google.com/spreadsheets/d/1SX6NBoVAgQJ6U1MVXOaj8PK2l7WJ3RER9xtqwdhxkhw/edit?usp=sharing"",""ฉะเชิงเทรา!I387"")"),0)</f>
        <v>0</v>
      </c>
      <c r="J492" s="189">
        <f ca="1">IFERROR(__xludf.DUMMYFUNCTION("IMPORTRANGE(""https://docs.google.com/spreadsheets/d/1SX6NBoVAgQJ6U1MVXOaj8PK2l7WJ3RER9xtqwdhxkhw/edit?usp=sharing"",""ฉะเชิงเทรา!J387"")"),0)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IFERROR(__xludf.DUMMYFUNCTION("IMPORTRANGE(""https://docs.google.com/spreadsheets/d/1SX6NBoVAgQJ6U1MVXOaj8PK2l7WJ3RER9xtqwdhxkhw/edit?usp=sharing"",""ฉะเชิงเทรา!I388"")"),0)</f>
        <v>0</v>
      </c>
      <c r="J493" s="189">
        <f ca="1">IFERROR(__xludf.DUMMYFUNCTION("IMPORTRANGE(""https://docs.google.com/spreadsheets/d/1SX6NBoVAgQJ6U1MVXOaj8PK2l7WJ3RER9xtqwdhxkhw/edit?usp=sharing"",""ฉะเชิงเทรา!J388"")"),0)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IFERROR(__xludf.DUMMYFUNCTION("IMPORTRANGE(""https://docs.google.com/spreadsheets/d/1SX6NBoVAgQJ6U1MVXOaj8PK2l7WJ3RER9xtqwdhxkhw/edit?usp=sharing"",""ฉะเชิงเทรา!J392"")"),453)</f>
        <v>453</v>
      </c>
      <c r="K497" s="444">
        <f t="shared" ca="1" si="117"/>
        <v>25.15269294836202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IFERROR(__xludf.DUMMYFUNCTION("IMPORTRANGE(""https://docs.google.com/spreadsheets/d/1SX6NBoVAgQJ6U1MVXOaj8PK2l7WJ3RER9xtqwdhxkhw/edit?usp=sharing"",""ฉะเชิงเทรา!J393"")"),453)</f>
        <v>453</v>
      </c>
      <c r="K498" s="163">
        <f t="shared" ca="1" si="117"/>
        <v>25.15269294836202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IFERROR(__xludf.DUMMYFUNCTION("IMPORTRANGE(""https://docs.google.com/spreadsheets/d/1SX6NBoVAgQJ6U1MVXOaj8PK2l7WJ3RER9xtqwdhxkhw/edit?usp=sharing"",""ฉะเชิงเทรา!J394"")"),50)</f>
        <v>50</v>
      </c>
      <c r="K499" s="202">
        <f t="shared" ca="1" si="117"/>
        <v>31.25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IFERROR(__xludf.DUMMYFUNCTION("IMPORTRANGE(""https://docs.google.com/spreadsheets/d/1SX6NBoVAgQJ6U1MVXOaj8PK2l7WJ3RER9xtqwdhxkhw/edit?usp=sharing"",""ฉะเชิงเทรา!I395"")"),0)</f>
        <v>0</v>
      </c>
      <c r="J500" s="162">
        <f ca="1">IFERROR(__xludf.DUMMYFUNCTION("IMPORTRANGE(""https://docs.google.com/spreadsheets/d/1SX6NBoVAgQJ6U1MVXOaj8PK2l7WJ3RER9xtqwdhxkhw/edit?usp=sharing"",""ฉะเชิงเทรา!J395"")"),453)</f>
        <v>453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IFERROR(__xludf.DUMMYFUNCTION("IMPORTRANGE(""https://docs.google.com/spreadsheets/d/1SX6NBoVAgQJ6U1MVXOaj8PK2l7WJ3RER9xtqwdhxkhw/edit?usp=sharing"",""ฉะเชิงเทรา!I396"")"),0)</f>
        <v>0</v>
      </c>
      <c r="J501" s="162">
        <f ca="1">IFERROR(__xludf.DUMMYFUNCTION("IMPORTRANGE(""https://docs.google.com/spreadsheets/d/1SX6NBoVAgQJ6U1MVXOaj8PK2l7WJ3RER9xtqwdhxkhw/edit?usp=sharing"",""ฉะเชิงเทรา!J396"")"),50)</f>
        <v>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IFERROR(__xludf.DUMMYFUNCTION("IMPORTRANGE(""https://docs.google.com/spreadsheets/d/1SX6NBoVAgQJ6U1MVXOaj8PK2l7WJ3RER9xtqwdhxkhw/edit?usp=sharing"",""ฉะเชิงเทรา!I397"")"),0)</f>
        <v>0</v>
      </c>
      <c r="J502" s="189">
        <f ca="1">IFERROR(__xludf.DUMMYFUNCTION("IMPORTRANGE(""https://docs.google.com/spreadsheets/d/1SX6NBoVAgQJ6U1MVXOaj8PK2l7WJ3RER9xtqwdhxkhw/edit?usp=sharing"",""ฉะเชิงเทรา!J397"")"),453)</f>
        <v>453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IFERROR(__xludf.DUMMYFUNCTION("IMPORTRANGE(""https://docs.google.com/spreadsheets/d/1SX6NBoVAgQJ6U1MVXOaj8PK2l7WJ3RER9xtqwdhxkhw/edit?usp=sharing"",""ฉะเชิงเทรา!I398"")"),0)</f>
        <v>0</v>
      </c>
      <c r="J503" s="198">
        <f ca="1">IFERROR(__xludf.DUMMYFUNCTION("IMPORTRANGE(""https://docs.google.com/spreadsheets/d/1SX6NBoVAgQJ6U1MVXOaj8PK2l7WJ3RER9xtqwdhxkhw/edit?usp=sharing"",""ฉะเชิงเทรา!J398"")"),50)</f>
        <v>50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IFERROR(__xludf.DUMMYFUNCTION("IMPORTRANGE(""https://docs.google.com/spreadsheets/d/1SX6NBoVAgQJ6U1MVXOaj8PK2l7WJ3RER9xtqwdhxkhw/edit?usp=sharing"",""ฉะเชิงเทรา!I399"")"),0)</f>
        <v>0</v>
      </c>
      <c r="J504" s="189">
        <f ca="1">IFERROR(__xludf.DUMMYFUNCTION("IMPORTRANGE(""https://docs.google.com/spreadsheets/d/1SX6NBoVAgQJ6U1MVXOaj8PK2l7WJ3RER9xtqwdhxkhw/edit?usp=sharing"",""ฉะเชิงเทรา!J399"")"),0)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IFERROR(__xludf.DUMMYFUNCTION("IMPORTRANGE(""https://docs.google.com/spreadsheets/d/1SX6NBoVAgQJ6U1MVXOaj8PK2l7WJ3RER9xtqwdhxkhw/edit?usp=sharing"",""ฉะเชิงเทรา!I400"")"),0)</f>
        <v>0</v>
      </c>
      <c r="J505" s="198">
        <f ca="1">IFERROR(__xludf.DUMMYFUNCTION("IMPORTRANGE(""https://docs.google.com/spreadsheets/d/1SX6NBoVAgQJ6U1MVXOaj8PK2l7WJ3RER9xtqwdhxkhw/edit?usp=sharing"",""ฉะเชิงเทรา!J400"")"),0)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IFERROR(__xludf.DUMMYFUNCTION("IMPORTRANGE(""https://docs.google.com/spreadsheets/d/1SX6NBoVAgQJ6U1MVXOaj8PK2l7WJ3RER9xtqwdhxkhw/edit?usp=sharing"",""ฉะเชิงเทรา!I401"")"),0)</f>
        <v>0</v>
      </c>
      <c r="J506" s="189">
        <f ca="1">IFERROR(__xludf.DUMMYFUNCTION("IMPORTRANGE(""https://docs.google.com/spreadsheets/d/1SX6NBoVAgQJ6U1MVXOaj8PK2l7WJ3RER9xtqwdhxkhw/edit?usp=sharing"",""ฉะเชิงเทรา!J401"")"),0)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IFERROR(__xludf.DUMMYFUNCTION("IMPORTRANGE(""https://docs.google.com/spreadsheets/d/1SX6NBoVAgQJ6U1MVXOaj8PK2l7WJ3RER9xtqwdhxkhw/edit?usp=sharing"",""ฉะเชิงเทรา!I402"")"),0)</f>
        <v>0</v>
      </c>
      <c r="J507" s="198">
        <f ca="1">IFERROR(__xludf.DUMMYFUNCTION("IMPORTRANGE(""https://docs.google.com/spreadsheets/d/1SX6NBoVAgQJ6U1MVXOaj8PK2l7WJ3RER9xtqwdhxkhw/edit?usp=sharing"",""ฉะเชิงเทรา!J402"")"),0)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IFERROR(__xludf.DUMMYFUNCTION("IMPORTRANGE(""https://docs.google.com/spreadsheets/d/1SX6NBoVAgQJ6U1MVXOaj8PK2l7WJ3RER9xtqwdhxkhw/edit?usp=sharing"",""ฉะเชิงเทรา!I403"")"),0)</f>
        <v>0</v>
      </c>
      <c r="J508" s="162">
        <f ca="1">IFERROR(__xludf.DUMMYFUNCTION("IMPORTRANGE(""https://docs.google.com/spreadsheets/d/1SX6NBoVAgQJ6U1MVXOaj8PK2l7WJ3RER9xtqwdhxkhw/edit?usp=sharing"",""ฉะเชิงเทรา!J403"")"),0)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IFERROR(__xludf.DUMMYFUNCTION("IMPORTRANGE(""https://docs.google.com/spreadsheets/d/1SX6NBoVAgQJ6U1MVXOaj8PK2l7WJ3RER9xtqwdhxkhw/edit?usp=sharing"",""ฉะเชิงเทรา!I404"")"),0)</f>
        <v>0</v>
      </c>
      <c r="J509" s="162">
        <f ca="1">IFERROR(__xludf.DUMMYFUNCTION("IMPORTRANGE(""https://docs.google.com/spreadsheets/d/1SX6NBoVAgQJ6U1MVXOaj8PK2l7WJ3RER9xtqwdhxkhw/edit?usp=sharing"",""ฉะเชิงเทรา!J404"")"),0)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IFERROR(__xludf.DUMMYFUNCTION("IMPORTRANGE(""https://docs.google.com/spreadsheets/d/1SX6NBoVAgQJ6U1MVXOaj8PK2l7WJ3RER9xtqwdhxkhw/edit?usp=sharing"",""ฉะเชิงเทรา!I405"")"),0)</f>
        <v>0</v>
      </c>
      <c r="J510" s="198">
        <f ca="1">IFERROR(__xludf.DUMMYFUNCTION("IMPORTRANGE(""https://docs.google.com/spreadsheets/d/1SX6NBoVAgQJ6U1MVXOaj8PK2l7WJ3RER9xtqwdhxkhw/edit?usp=sharing"",""ฉะเชิงเทรา!J405"")"),0)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IFERROR(__xludf.DUMMYFUNCTION("IMPORTRANGE(""https://docs.google.com/spreadsheets/d/1SX6NBoVAgQJ6U1MVXOaj8PK2l7WJ3RER9xtqwdhxkhw/edit?usp=sharing"",""ฉะเชิงเทรา!I406"")"),0)</f>
        <v>0</v>
      </c>
      <c r="J511" s="198">
        <f ca="1">IFERROR(__xludf.DUMMYFUNCTION("IMPORTRANGE(""https://docs.google.com/spreadsheets/d/1SX6NBoVAgQJ6U1MVXOaj8PK2l7WJ3RER9xtqwdhxkhw/edit?usp=sharing"",""ฉะเชิงเทรา!J406"")"),0)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IFERROR(__xludf.DUMMYFUNCTION("IMPORTRANGE(""https://docs.google.com/spreadsheets/d/1SX6NBoVAgQJ6U1MVXOaj8PK2l7WJ3RER9xtqwdhxkhw/edit?usp=sharing"",""ฉะเชิงเทรา!I407"")"),0)</f>
        <v>0</v>
      </c>
      <c r="J512" s="198">
        <f ca="1">IFERROR(__xludf.DUMMYFUNCTION("IMPORTRANGE(""https://docs.google.com/spreadsheets/d/1SX6NBoVAgQJ6U1MVXOaj8PK2l7WJ3RER9xtqwdhxkhw/edit?usp=sharing"",""ฉะเชิงเทรา!J407"")"),0)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IFERROR(__xludf.DUMMYFUNCTION("IMPORTRANGE(""https://docs.google.com/spreadsheets/d/1SX6NBoVAgQJ6U1MVXOaj8PK2l7WJ3RER9xtqwdhxkhw/edit?usp=sharing"",""ฉะเชิงเทรา!I408"")"),0)</f>
        <v>0</v>
      </c>
      <c r="J513" s="198">
        <f ca="1">IFERROR(__xludf.DUMMYFUNCTION("IMPORTRANGE(""https://docs.google.com/spreadsheets/d/1SX6NBoVAgQJ6U1MVXOaj8PK2l7WJ3RER9xtqwdhxkhw/edit?usp=sharing"",""ฉะเชิงเทรา!J408"")"),0)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IFERROR(__xludf.DUMMYFUNCTION("IMPORTRANGE(""https://docs.google.com/spreadsheets/d/1SX6NBoVAgQJ6U1MVXOaj8PK2l7WJ3RER9xtqwdhxkhw/edit?usp=sharing"",""ฉะเชิงเทรา!I409"")"),0)</f>
        <v>0</v>
      </c>
      <c r="J514" s="198">
        <f ca="1">IFERROR(__xludf.DUMMYFUNCTION("IMPORTRANGE(""https://docs.google.com/spreadsheets/d/1SX6NBoVAgQJ6U1MVXOaj8PK2l7WJ3RER9xtqwdhxkhw/edit?usp=sharing"",""ฉะเชิงเทรา!J409"")"),0)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IFERROR(__xludf.DUMMYFUNCTION("IMPORTRANGE(""https://docs.google.com/spreadsheets/d/1SX6NBoVAgQJ6U1MVXOaj8PK2l7WJ3RER9xtqwdhxkhw/edit?usp=sharing"",""ฉะเชิงเทรา!I410"")"),0)</f>
        <v>0</v>
      </c>
      <c r="J515" s="198">
        <f ca="1">IFERROR(__xludf.DUMMYFUNCTION("IMPORTRANGE(""https://docs.google.com/spreadsheets/d/1SX6NBoVAgQJ6U1MVXOaj8PK2l7WJ3RER9xtqwdhxkhw/edit?usp=sharing"",""ฉะเชิงเทรา!J410"")"),0)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IFERROR(__xludf.DUMMYFUNCTION("IMPORTRANGE(""https://docs.google.com/spreadsheets/d/1SX6NBoVAgQJ6U1MVXOaj8PK2l7WJ3RER9xtqwdhxkhw/edit?usp=sharing"",""ฉะเชิงเทรา!I411"")"),0)</f>
        <v>0</v>
      </c>
      <c r="J516" s="268">
        <f ca="1">IFERROR(__xludf.DUMMYFUNCTION("IMPORTRANGE(""https://docs.google.com/spreadsheets/d/1SX6NBoVAgQJ6U1MVXOaj8PK2l7WJ3RER9xtqwdhxkhw/edit?usp=sharing"",""ฉะเชิงเทรา!J411"")"),0)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IFERROR(__xludf.DUMMYFUNCTION("IMPORTRANGE(""https://docs.google.com/spreadsheets/d/1SX6NBoVAgQJ6U1MVXOaj8PK2l7WJ3RER9xtqwdhxkhw/edit?usp=sharing"",""ฉะเชิงเทรา!I412"")"),0)</f>
        <v>0</v>
      </c>
      <c r="J517" s="285">
        <f ca="1">IFERROR(__xludf.DUMMYFUNCTION("IMPORTRANGE(""https://docs.google.com/spreadsheets/d/1SX6NBoVAgQJ6U1MVXOaj8PK2l7WJ3RER9xtqwdhxkhw/edit?usp=sharing"",""ฉะเชิงเทรา!J412"")"),0)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IFERROR(__xludf.DUMMYFUNCTION("IMPORTRANGE(""https://docs.google.com/spreadsheets/d/1SX6NBoVAgQJ6U1MVXOaj8PK2l7WJ3RER9xtqwdhxkhw/edit?usp=sharing"",""ฉะเชิงเทรา!I413"")"),0)</f>
        <v>0</v>
      </c>
      <c r="J518" s="285">
        <f ca="1">IFERROR(__xludf.DUMMYFUNCTION("IMPORTRANGE(""https://docs.google.com/spreadsheets/d/1SX6NBoVAgQJ6U1MVXOaj8PK2l7WJ3RER9xtqwdhxkhw/edit?usp=sharing"",""ฉะเชิงเทรา!J413"")"),0)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IFERROR(__xludf.DUMMYFUNCTION("IMPORTRANGE(""https://docs.google.com/spreadsheets/d/1SX6NBoVAgQJ6U1MVXOaj8PK2l7WJ3RER9xtqwdhxkhw/edit?usp=sharing"",""ฉะเชิงเทรา!I414"")"),0)</f>
        <v>0</v>
      </c>
      <c r="J519" s="188">
        <f ca="1">IFERROR(__xludf.DUMMYFUNCTION("IMPORTRANGE(""https://docs.google.com/spreadsheets/d/1SX6NBoVAgQJ6U1MVXOaj8PK2l7WJ3RER9xtqwdhxkhw/edit?usp=sharing"",""ฉะเชิงเทรา!J414"")"),0)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IFERROR(__xludf.DUMMYFUNCTION("IMPORTRANGE(""https://docs.google.com/spreadsheets/d/1SX6NBoVAgQJ6U1MVXOaj8PK2l7WJ3RER9xtqwdhxkhw/edit?usp=sharing"",""ฉะเชิงเทรา!I415"")"),0)</f>
        <v>0</v>
      </c>
      <c r="J520" s="188">
        <f ca="1">IFERROR(__xludf.DUMMYFUNCTION("IMPORTRANGE(""https://docs.google.com/spreadsheets/d/1SX6NBoVAgQJ6U1MVXOaj8PK2l7WJ3RER9xtqwdhxkhw/edit?usp=sharing"",""ฉะเชิงเทรา!J415"")"),0)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IFERROR(__xludf.DUMMYFUNCTION("IMPORTRANGE(""https://docs.google.com/spreadsheets/d/1SX6NBoVAgQJ6U1MVXOaj8PK2l7WJ3RER9xtqwdhxkhw/edit?usp=sharing"",""ฉะเชิงเทรา!I416"")"),0)</f>
        <v>0</v>
      </c>
      <c r="J521" s="188">
        <f ca="1">IFERROR(__xludf.DUMMYFUNCTION("IMPORTRANGE(""https://docs.google.com/spreadsheets/d/1SX6NBoVAgQJ6U1MVXOaj8PK2l7WJ3RER9xtqwdhxkhw/edit?usp=sharing"",""ฉะเชิงเทรา!J416"")"),0)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IFERROR(__xludf.DUMMYFUNCTION("IMPORTRANGE(""https://docs.google.com/spreadsheets/d/1SX6NBoVAgQJ6U1MVXOaj8PK2l7WJ3RER9xtqwdhxkhw/edit?usp=sharing"",""ฉะเชิงเทรา!I417"")"),0)</f>
        <v>0</v>
      </c>
      <c r="J522" s="188">
        <f ca="1">IFERROR(__xludf.DUMMYFUNCTION("IMPORTRANGE(""https://docs.google.com/spreadsheets/d/1SX6NBoVAgQJ6U1MVXOaj8PK2l7WJ3RER9xtqwdhxkhw/edit?usp=sharing"",""ฉะเชิงเทรา!J417"")"),0)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IFERROR(__xludf.DUMMYFUNCTION("IMPORTRANGE(""https://docs.google.com/spreadsheets/d/1SX6NBoVAgQJ6U1MVXOaj8PK2l7WJ3RER9xtqwdhxkhw/edit?usp=sharing"",""ฉะเชิงเทรา!I418"")"),0)</f>
        <v>0</v>
      </c>
      <c r="J523" s="188">
        <f ca="1">IFERROR(__xludf.DUMMYFUNCTION("IMPORTRANGE(""https://docs.google.com/spreadsheets/d/1SX6NBoVAgQJ6U1MVXOaj8PK2l7WJ3RER9xtqwdhxkhw/edit?usp=sharing"",""ฉะเชิงเทรา!J418"")"),0)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IFERROR(__xludf.DUMMYFUNCTION("IMPORTRANGE(""https://docs.google.com/spreadsheets/d/1SX6NBoVAgQJ6U1MVXOaj8PK2l7WJ3RER9xtqwdhxkhw/edit?usp=sharing"",""ฉะเชิงเทรา!I419"")"),0)</f>
        <v>0</v>
      </c>
      <c r="J524" s="188">
        <f ca="1">IFERROR(__xludf.DUMMYFUNCTION("IMPORTRANGE(""https://docs.google.com/spreadsheets/d/1SX6NBoVAgQJ6U1MVXOaj8PK2l7WJ3RER9xtqwdhxkhw/edit?usp=sharing"",""ฉะเชิงเทรา!J419"")"),0)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IFERROR(__xludf.DUMMYFUNCTION("IMPORTRANGE(""https://docs.google.com/spreadsheets/d/1SX6NBoVAgQJ6U1MVXOaj8PK2l7WJ3RER9xtqwdhxkhw/edit?usp=sharing"",""ฉะเชิงเทรา!I420"")"),0)</f>
        <v>0</v>
      </c>
      <c r="J525" s="285">
        <f ca="1">IFERROR(__xludf.DUMMYFUNCTION("IMPORTRANGE(""https://docs.google.com/spreadsheets/d/1SX6NBoVAgQJ6U1MVXOaj8PK2l7WJ3RER9xtqwdhxkhw/edit?usp=sharing"",""ฉะเชิงเทรา!J420"")"),0)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IFERROR(__xludf.DUMMYFUNCTION("IMPORTRANGE(""https://docs.google.com/spreadsheets/d/1SX6NBoVAgQJ6U1MVXOaj8PK2l7WJ3RER9xtqwdhxkhw/edit?usp=sharing"",""ฉะเชิงเทรา!I421"")"),0)</f>
        <v>0</v>
      </c>
      <c r="J526" s="285">
        <f ca="1">IFERROR(__xludf.DUMMYFUNCTION("IMPORTRANGE(""https://docs.google.com/spreadsheets/d/1SX6NBoVAgQJ6U1MVXOaj8PK2l7WJ3RER9xtqwdhxkhw/edit?usp=sharing"",""ฉะเชิงเทรา!J421"")"),0)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IFERROR(__xludf.DUMMYFUNCTION("IMPORTRANGE(""https://docs.google.com/spreadsheets/d/1SX6NBoVAgQJ6U1MVXOaj8PK2l7WJ3RER9xtqwdhxkhw/edit?usp=sharing"",""ฉะเชิงเทรา!I422"")"),0)</f>
        <v>0</v>
      </c>
      <c r="J527" s="198">
        <f ca="1">IFERROR(__xludf.DUMMYFUNCTION("IMPORTRANGE(""https://docs.google.com/spreadsheets/d/1SX6NBoVAgQJ6U1MVXOaj8PK2l7WJ3RER9xtqwdhxkhw/edit?usp=sharing"",""ฉะเชิงเทรา!J422"")"),0)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IFERROR(__xludf.DUMMYFUNCTION("IMPORTRANGE(""https://docs.google.com/spreadsheets/d/1SX6NBoVAgQJ6U1MVXOaj8PK2l7WJ3RER9xtqwdhxkhw/edit?usp=sharing"",""ฉะเชิงเทรา!I423"")"),0)</f>
        <v>0</v>
      </c>
      <c r="J528" s="198">
        <f ca="1">IFERROR(__xludf.DUMMYFUNCTION("IMPORTRANGE(""https://docs.google.com/spreadsheets/d/1SX6NBoVAgQJ6U1MVXOaj8PK2l7WJ3RER9xtqwdhxkhw/edit?usp=sharing"",""ฉะเชิงเทรา!J423"")"),0)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IFERROR(__xludf.DUMMYFUNCTION("IMPORTRANGE(""https://docs.google.com/spreadsheets/d/1SX6NBoVAgQJ6U1MVXOaj8PK2l7WJ3RER9xtqwdhxkhw/edit?usp=sharing"",""ฉะเชิงเทรา!I424"")"),0)</f>
        <v>0</v>
      </c>
      <c r="J529" s="198">
        <f ca="1">IFERROR(__xludf.DUMMYFUNCTION("IMPORTRANGE(""https://docs.google.com/spreadsheets/d/1SX6NBoVAgQJ6U1MVXOaj8PK2l7WJ3RER9xtqwdhxkhw/edit?usp=sharing"",""ฉะเชิงเทรา!J424"")"),0)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IFERROR(__xludf.DUMMYFUNCTION("IMPORTRANGE(""https://docs.google.com/spreadsheets/d/1SX6NBoVAgQJ6U1MVXOaj8PK2l7WJ3RER9xtqwdhxkhw/edit?usp=sharing"",""ฉะเชิงเทรา!I425"")"),0)</f>
        <v>0</v>
      </c>
      <c r="J530" s="198">
        <f ca="1">IFERROR(__xludf.DUMMYFUNCTION("IMPORTRANGE(""https://docs.google.com/spreadsheets/d/1SX6NBoVAgQJ6U1MVXOaj8PK2l7WJ3RER9xtqwdhxkhw/edit?usp=sharing"",""ฉะเชิงเทรา!J425"")"),0)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IFERROR(__xludf.DUMMYFUNCTION("IMPORTRANGE(""https://docs.google.com/spreadsheets/d/1SX6NBoVAgQJ6U1MVXOaj8PK2l7WJ3RER9xtqwdhxkhw/edit?usp=sharing"",""ฉะเชิงเทรา!I426"")"),0)</f>
        <v>0</v>
      </c>
      <c r="J531" s="198">
        <f ca="1">IFERROR(__xludf.DUMMYFUNCTION("IMPORTRANGE(""https://docs.google.com/spreadsheets/d/1SX6NBoVAgQJ6U1MVXOaj8PK2l7WJ3RER9xtqwdhxkhw/edit?usp=sharing"",""ฉะเชิงเทรา!J426"")"),0)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IFERROR(__xludf.DUMMYFUNCTION("IMPORTRANGE(""https://docs.google.com/spreadsheets/d/1SX6NBoVAgQJ6U1MVXOaj8PK2l7WJ3RER9xtqwdhxkhw/edit?usp=sharing"",""ฉะเชิงเทรา!M428"")"),30240)</f>
        <v>30240</v>
      </c>
      <c r="O533" s="412">
        <f t="shared" ref="O533:O537" ca="1" si="118">+IF(L533&gt;0,N533*100/L533,0)</f>
        <v>88.060570762958648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IFERROR(__xludf.DUMMYFUNCTION("IMPORTRANGE(""https://docs.google.com/spreadsheets/d/1SX6NBoVAgQJ6U1MVXOaj8PK2l7WJ3RER9xtqwdhxkhw/edit?usp=sharing"",""ฉะเชิงเทรา!L429"")"),0)</f>
        <v>0</v>
      </c>
      <c r="M534" s="164"/>
      <c r="N534" s="169">
        <f ca="1">IFERROR(__xludf.DUMMYFUNCTION("IMPORTRANGE(""https://docs.google.com/spreadsheets/d/1SX6NBoVAgQJ6U1MVXOaj8PK2l7WJ3RER9xtqwdhxkhw/edit?usp=sharing"",""ฉะเชิงเทรา!M429"")"),0)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IFERROR(__xludf.DUMMYFUNCTION("IMPORTRANGE(""https://docs.google.com/spreadsheets/d/1SX6NBoVAgQJ6U1MVXOaj8PK2l7WJ3RER9xtqwdhxkhw/edit?usp=sharing"",""ฉะเชิงเทรา!L430"")"),34340)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IFERROR(__xludf.DUMMYFUNCTION("IMPORTRANGE(""https://docs.google.com/spreadsheets/d/1SX6NBoVAgQJ6U1MVXOaj8PK2l7WJ3RER9xtqwdhxkhw/edit?usp=sharing"",""ฉะเชิงเทรา!M430"")"),30240)</f>
        <v>30240</v>
      </c>
      <c r="O535" s="169">
        <f t="shared" ca="1" si="118"/>
        <v>88.060570762958648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IFERROR(__xludf.DUMMYFUNCTION("IMPORTRANGE(""https://docs.google.com/spreadsheets/d/1SX6NBoVAgQJ6U1MVXOaj8PK2l7WJ3RER9xtqwdhxkhw/edit?usp=sharing"",""ฉะเชิงเทรา!L431"")"),0)</f>
        <v>0</v>
      </c>
      <c r="M536" s="169"/>
      <c r="N536" s="169">
        <f ca="1">IFERROR(__xludf.DUMMYFUNCTION("IMPORTRANGE(""https://docs.google.com/spreadsheets/d/1SX6NBoVAgQJ6U1MVXOaj8PK2l7WJ3RER9xtqwdhxkhw/edit?usp=sharing"",""ฉะเชิงเทรา!M431"")"),0)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IFERROR(__xludf.DUMMYFUNCTION("IMPORTRANGE(""https://docs.google.com/spreadsheets/d/1SX6NBoVAgQJ6U1MVXOaj8PK2l7WJ3RER9xtqwdhxkhw/edit?usp=sharing"",""ฉะเชิงเทรา!L432"")"),34340)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IFERROR(__xludf.DUMMYFUNCTION("IMPORTRANGE(""https://docs.google.com/spreadsheets/d/1SX6NBoVAgQJ6U1MVXOaj8PK2l7WJ3RER9xtqwdhxkhw/edit?usp=sharing"",""ฉะเชิงเทรา!M432"")"),30240)</f>
        <v>30240</v>
      </c>
      <c r="O537" s="169">
        <f t="shared" ca="1" si="118"/>
        <v>88.060570762958648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IFERROR(__xludf.DUMMYFUNCTION("IMPORTRANGE(""https://docs.google.com/spreadsheets/d/1SX6NBoVAgQJ6U1MVXOaj8PK2l7WJ3RER9xtqwdhxkhw/edit?usp=sharing"",""ฉะเชิงเทรา!M436"")"),11500)</f>
        <v>11500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IFERROR(__xludf.DUMMYFUNCTION("IMPORTRANGE(""https://docs.google.com/spreadsheets/d/1SX6NBoVAgQJ6U1MVXOaj8PK2l7WJ3RER9xtqwdhxkhw/edit?usp=sharing"",""ฉะเชิงเทรา!J438"")"),0)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IFERROR(__xludf.DUMMYFUNCTION("IMPORTRANGE(""https://docs.google.com/spreadsheets/d/1SX6NBoVAgQJ6U1MVXOaj8PK2l7WJ3RER9xtqwdhxkhw/edit?usp=sharing"",""ฉะเชิงเทรา!J439"")"),1)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IFERROR(__xludf.DUMMYFUNCTION("IMPORTRANGE(""https://docs.google.com/spreadsheets/d/1SX6NBoVAgQJ6U1MVXOaj8PK2l7WJ3RER9xtqwdhxkhw/edit?usp=sharing"",""ฉะเชิงเทรา!J440"")"),1)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IFERROR(__xludf.DUMMYFUNCTION("IMPORTRANGE(""https://docs.google.com/spreadsheets/d/1SX6NBoVAgQJ6U1MVXOaj8PK2l7WJ3RER9xtqwdhxkhw/edit?usp=sharing"",""ฉะเชิงเทรา!J441"")"),1)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IFERROR(__xludf.DUMMYFUNCTION("IMPORTRANGE(""https://docs.google.com/spreadsheets/d/1SX6NBoVAgQJ6U1MVXOaj8PK2l7WJ3RER9xtqwdhxkhw/edit?usp=sharing"",""ฉะเชิงเทรา!I442"")"),22)</f>
        <v>22</v>
      </c>
      <c r="J547" s="189">
        <f ca="1">IFERROR(__xludf.DUMMYFUNCTION("IMPORTRANGE(""https://docs.google.com/spreadsheets/d/1SX6NBoVAgQJ6U1MVXOaj8PK2l7WJ3RER9xtqwdhxkhw/edit?usp=sharing"",""ฉะเชิงเทรา!J442"")"),22)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IFERROR(__xludf.DUMMYFUNCTION("IMPORTRANGE(""https://docs.google.com/spreadsheets/d/1SX6NBoVAgQJ6U1MVXOaj8PK2l7WJ3RER9xtqwdhxkhw/edit?usp=sharing"",""ฉะเชิงเทรา!J166"")"),0)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IFERROR(__xludf.DUMMYFUNCTION("IMPORTRANGE(""https://docs.google.com/spreadsheets/d/1SX6NBoVAgQJ6U1MVXOaj8PK2l7WJ3RER9xtqwdhxkhw/edit?usp=sharing"",""ฉะเชิงเทรา!J444"")"),0)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IFERROR(__xludf.DUMMYFUNCTION("IMPORTRANGE(""https://docs.google.com/spreadsheets/d/1SX6NBoVAgQJ6U1MVXOaj8PK2l7WJ3RER9xtqwdhxkhw/edit?usp=sharing"",""ฉะเชิงเทรา!L447"")"),0)</f>
        <v>0</v>
      </c>
      <c r="M552" s="164"/>
      <c r="N552" s="169">
        <f ca="1">IFERROR(__xludf.DUMMYFUNCTION("IMPORTRANGE(""https://docs.google.com/spreadsheets/d/1SX6NBoVAgQJ6U1MVXOaj8PK2l7WJ3RER9xtqwdhxkhw/edit?usp=sharing"",""ฉะเชิงเทรา!M447"")"),0)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IFERROR(__xludf.DUMMYFUNCTION("IMPORTRANGE(""https://docs.google.com/spreadsheets/d/1SX6NBoVAgQJ6U1MVXOaj8PK2l7WJ3RER9xtqwdhxkhw/edit?usp=sharing"",""ฉะเชิงเทรา!L448"")"),0)</f>
        <v>0</v>
      </c>
      <c r="M553" s="165"/>
      <c r="N553" s="169">
        <f ca="1">IFERROR(__xludf.DUMMYFUNCTION("IMPORTRANGE(""https://docs.google.com/spreadsheets/d/1SX6NBoVAgQJ6U1MVXOaj8PK2l7WJ3RER9xtqwdhxkhw/edit?usp=sharing"",""ฉะเชิงเทรา!M448"")"),0)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IFERROR(__xludf.DUMMYFUNCTION("IMPORTRANGE(""https://docs.google.com/spreadsheets/d/1SX6NBoVAgQJ6U1MVXOaj8PK2l7WJ3RER9xtqwdhxkhw/edit?usp=sharing"",""ฉะเชิงเทรา!L449"")"),0)</f>
        <v>0</v>
      </c>
      <c r="M554" s="169"/>
      <c r="N554" s="169">
        <f ca="1">IFERROR(__xludf.DUMMYFUNCTION("IMPORTRANGE(""https://docs.google.com/spreadsheets/d/1SX6NBoVAgQJ6U1MVXOaj8PK2l7WJ3RER9xtqwdhxkhw/edit?usp=sharing"",""ฉะเชิงเทรา!M449"")"),0)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IFERROR(__xludf.DUMMYFUNCTION("IMPORTRANGE(""https://docs.google.com/spreadsheets/d/1SX6NBoVAgQJ6U1MVXOaj8PK2l7WJ3RER9xtqwdhxkhw/edit?usp=sharing"",""ฉะเชิงเทรา!L450"")"),0)</f>
        <v>0</v>
      </c>
      <c r="M555" s="169"/>
      <c r="N555" s="169">
        <f ca="1">IFERROR(__xludf.DUMMYFUNCTION("IMPORTRANGE(""https://docs.google.com/spreadsheets/d/1SX6NBoVAgQJ6U1MVXOaj8PK2l7WJ3RER9xtqwdhxkhw/edit?usp=sharing"",""ฉะเชิงเทรา!M450"")"),0)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IFERROR(__xludf.DUMMYFUNCTION("IMPORTRANGE(""https://docs.google.com/spreadsheets/d/1SX6NBoVAgQJ6U1MVXOaj8PK2l7WJ3RER9xtqwdhxkhw/edit?usp=sharing"",""ฉะเชิงเทรา!M451"")"),0)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IFERROR(__xludf.DUMMYFUNCTION("IMPORTRANGE(""https://docs.google.com/spreadsheets/d/1SX6NBoVAgQJ6U1MVXOaj8PK2l7WJ3RER9xtqwdhxkhw/edit?usp=sharing"",""ฉะเชิงเทรา!M452"")"),0)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IFERROR(__xludf.DUMMYFUNCTION("IMPORTRANGE(""https://docs.google.com/spreadsheets/d/1SX6NBoVAgQJ6U1MVXOaj8PK2l7WJ3RER9xtqwdhxkhw/edit?usp=sharing"",""ฉะเชิงเทรา!M453"")"),0)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IFERROR(__xludf.DUMMYFUNCTION("IMPORTRANGE(""https://docs.google.com/spreadsheets/d/1SX6NBoVAgQJ6U1MVXOaj8PK2l7WJ3RER9xtqwdhxkhw/edit?usp=sharing"",""ฉะเชิงเทรา!M454"")"),0)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IFERROR(__xludf.DUMMYFUNCTION("IMPORTRANGE(""https://docs.google.com/spreadsheets/d/1SX6NBoVAgQJ6U1MVXOaj8PK2l7WJ3RER9xtqwdhxkhw/edit?usp=sharing"",""ฉะเชิงเทรา!I455"")"),0)</f>
        <v>0</v>
      </c>
      <c r="J560" s="162">
        <f ca="1">IFERROR(__xludf.DUMMYFUNCTION("IMPORTRANGE(""https://docs.google.com/spreadsheets/d/1SX6NBoVAgQJ6U1MVXOaj8PK2l7WJ3RER9xtqwdhxkhw/edit?usp=sharing"",""ฉะเชิงเทรา!J455"")"),0)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IFERROR(__xludf.DUMMYFUNCTION("IMPORTRANGE(""https://docs.google.com/spreadsheets/d/1SX6NBoVAgQJ6U1MVXOaj8PK2l7WJ3RER9xtqwdhxkhw/edit?usp=sharing"",""ฉะเชิงเทรา!I456"")"),0)</f>
        <v>0</v>
      </c>
      <c r="J561" s="204">
        <f ca="1">IFERROR(__xludf.DUMMYFUNCTION("IMPORTRANGE(""https://docs.google.com/spreadsheets/d/1SX6NBoVAgQJ6U1MVXOaj8PK2l7WJ3RER9xtqwdhxkhw/edit?usp=sharing"",""ฉะเชิงเทรา!J456"")"),0)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IFERROR(__xludf.DUMMYFUNCTION("IMPORTRANGE(""https://docs.google.com/spreadsheets/d/1SX6NBoVAgQJ6U1MVXOaj8PK2l7WJ3RER9xtqwdhxkhw/edit?usp=sharing"",""ฉะเชิงเทรา!J459"")"),5885)</f>
        <v>5885</v>
      </c>
      <c r="K564" s="372">
        <f ca="1">IF(I564&gt;0,J564*100/I564,0)</f>
        <v>326.94444444444446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IFERROR(__xludf.DUMMYFUNCTION("IMPORTRANGE(""https://docs.google.com/spreadsheets/d/1SX6NBoVAgQJ6U1MVXOaj8PK2l7WJ3RER9xtqwdhxkhw/edit?usp=sharing"",""ฉะเชิงเทรา!M459"")"),105341.36)</f>
        <v>105341.36</v>
      </c>
      <c r="O564" s="373">
        <f t="shared" ref="O564:O568" ca="1" si="122">+IF(L564&gt;0,N564*100/L564,0)</f>
        <v>74.731384790011347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IFERROR(__xludf.DUMMYFUNCTION("IMPORTRANGE(""https://docs.google.com/spreadsheets/d/1SX6NBoVAgQJ6U1MVXOaj8PK2l7WJ3RER9xtqwdhxkhw/edit?usp=sharing"",""ฉะเชิงเทรา!L460"")"),0)</f>
        <v>0</v>
      </c>
      <c r="M565" s="164"/>
      <c r="N565" s="169">
        <f ca="1">IFERROR(__xludf.DUMMYFUNCTION("IMPORTRANGE(""https://docs.google.com/spreadsheets/d/1SX6NBoVAgQJ6U1MVXOaj8PK2l7WJ3RER9xtqwdhxkhw/edit?usp=sharing"",""ฉะเชิงเทรา!M460"")"),0)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5"/>
      <c r="N566" s="169">
        <f ca="1">IFERROR(__xludf.DUMMYFUNCTION("IMPORTRANGE(""https://docs.google.com/spreadsheets/d/1SX6NBoVAgQJ6U1MVXOaj8PK2l7WJ3RER9xtqwdhxkhw/edit?usp=sharing"",""ฉะเชิงเทรา!M461"")"),105341.36)</f>
        <v>105341.36</v>
      </c>
      <c r="O566" s="169">
        <f t="shared" ca="1" si="122"/>
        <v>74.731384790011347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IFERROR(__xludf.DUMMYFUNCTION("IMPORTRANGE(""https://docs.google.com/spreadsheets/d/1SX6NBoVAgQJ6U1MVXOaj8PK2l7WJ3RER9xtqwdhxkhw/edit?usp=sharing"",""ฉะเชิงเทรา!L462"")"),0)</f>
        <v>0</v>
      </c>
      <c r="M567" s="169"/>
      <c r="N567" s="169">
        <f ca="1">IFERROR(__xludf.DUMMYFUNCTION("IMPORTRANGE(""https://docs.google.com/spreadsheets/d/1SX6NBoVAgQJ6U1MVXOaj8PK2l7WJ3RER9xtqwdhxkhw/edit?usp=sharing"",""ฉะเชิงเทรา!M462"")"),0)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IFERROR(__xludf.DUMMYFUNCTION("IMPORTRANGE(""https://docs.google.com/spreadsheets/d/1SX6NBoVAgQJ6U1MVXOaj8PK2l7WJ3RER9xtqwdhxkhw/edit?usp=sharing"",""ฉะเชิงเทรา!L463"")"),140960)</f>
        <v>140960</v>
      </c>
      <c r="M568" s="169"/>
      <c r="N568" s="169">
        <f ca="1">IFERROR(__xludf.DUMMYFUNCTION("IMPORTRANGE(""https://docs.google.com/spreadsheets/d/1SX6NBoVAgQJ6U1MVXOaj8PK2l7WJ3RER9xtqwdhxkhw/edit?usp=sharing"",""ฉะเชิงเทรา!M463"")"),105341.36)</f>
        <v>105341.36</v>
      </c>
      <c r="O568" s="169">
        <f t="shared" ca="1" si="122"/>
        <v>74.731384790011347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IFERROR(__xludf.DUMMYFUNCTION("IMPORTRANGE(""https://docs.google.com/spreadsheets/d/1SX6NBoVAgQJ6U1MVXOaj8PK2l7WJ3RER9xtqwdhxkhw/edit?usp=sharing"",""ฉะเชิงเทรา!M464"")"),0)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IFERROR(__xludf.DUMMYFUNCTION("IMPORTRANGE(""https://docs.google.com/spreadsheets/d/1SX6NBoVAgQJ6U1MVXOaj8PK2l7WJ3RER9xtqwdhxkhw/edit?usp=sharing"",""ฉะเชิงเทรา!M465"")"),0)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IFERROR(__xludf.DUMMYFUNCTION("IMPORTRANGE(""https://docs.google.com/spreadsheets/d/1SX6NBoVAgQJ6U1MVXOaj8PK2l7WJ3RER9xtqwdhxkhw/edit?usp=sharing"",""ฉะเชิงเทรา!M466"")"),81766.36)</f>
        <v>81766.36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IFERROR(__xludf.DUMMYFUNCTION("IMPORTRANGE(""https://docs.google.com/spreadsheets/d/1SX6NBoVAgQJ6U1MVXOaj8PK2l7WJ3RER9xtqwdhxkhw/edit?usp=sharing"",""ฉะเชิงเทรา!M467"")"),23575)</f>
        <v>23575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IFERROR(__xludf.DUMMYFUNCTION("IMPORTRANGE(""https://docs.google.com/spreadsheets/d/1SX6NBoVAgQJ6U1MVXOaj8PK2l7WJ3RER9xtqwdhxkhw/edit?usp=sharing"",""ฉะเชิงเทรา!J468"")"),5885)</f>
        <v>5885</v>
      </c>
      <c r="K573" s="202">
        <f ca="1">IF(I573&gt;0,J573*100/I573,0)</f>
        <v>326.94444444444446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IFERROR(__xludf.DUMMYFUNCTION("IMPORTRANGE(""https://docs.google.com/spreadsheets/d/1SX6NBoVAgQJ6U1MVXOaj8PK2l7WJ3RER9xtqwdhxkhw/edit?usp=sharing"",""ฉะเชิงเทรา!I470"")"),0)</f>
        <v>0</v>
      </c>
      <c r="J575" s="198">
        <f ca="1">IFERROR(__xludf.DUMMYFUNCTION("IMPORTRANGE(""https://docs.google.com/spreadsheets/d/1SX6NBoVAgQJ6U1MVXOaj8PK2l7WJ3RER9xtqwdhxkhw/edit?usp=sharing"",""ฉะเชิงเทรา!J470"")"),6)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IFERROR(__xludf.DUMMYFUNCTION("IMPORTRANGE(""https://docs.google.com/spreadsheets/d/1SX6NBoVAgQJ6U1MVXOaj8PK2l7WJ3RER9xtqwdhxkhw/edit?usp=sharing"",""ฉะเชิงเทรา!I471"")"),0)</f>
        <v>0</v>
      </c>
      <c r="J576" s="198">
        <f ca="1">IFERROR(__xludf.DUMMYFUNCTION("IMPORTRANGE(""https://docs.google.com/spreadsheets/d/1SX6NBoVAgQJ6U1MVXOaj8PK2l7WJ3RER9xtqwdhxkhw/edit?usp=sharing"",""ฉะเชิงเทรา!J471"")"),249)</f>
        <v>249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IFERROR(__xludf.DUMMYFUNCTION("IMPORTRANGE(""https://docs.google.com/spreadsheets/d/1SX6NBoVAgQJ6U1MVXOaj8PK2l7WJ3RER9xtqwdhxkhw/edit?usp=sharing"",""ฉะเชิงเทรา!I472"")"),0)</f>
        <v>0</v>
      </c>
      <c r="J577" s="189">
        <f ca="1">IFERROR(__xludf.DUMMYFUNCTION("IMPORTRANGE(""https://docs.google.com/spreadsheets/d/1SX6NBoVAgQJ6U1MVXOaj8PK2l7WJ3RER9xtqwdhxkhw/edit?usp=sharing"",""ฉะเชิงเทรา!J472"")"),5636)</f>
        <v>5636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IFERROR(__xludf.DUMMYFUNCTION("IMPORTRANGE(""https://docs.google.com/spreadsheets/d/1SX6NBoVAgQJ6U1MVXOaj8PK2l7WJ3RER9xtqwdhxkhw/edit?usp=sharing"",""ฉะเชิงเทรา!I473"")"),0)</f>
        <v>0</v>
      </c>
      <c r="J578" s="198">
        <f ca="1">IFERROR(__xludf.DUMMYFUNCTION("IMPORTRANGE(""https://docs.google.com/spreadsheets/d/1SX6NBoVAgQJ6U1MVXOaj8PK2l7WJ3RER9xtqwdhxkhw/edit?usp=sharing"",""ฉะเชิงเทรา!J473"")"),0)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IFERROR(__xludf.DUMMYFUNCTION("IMPORTRANGE(""https://docs.google.com/spreadsheets/d/1SX6NBoVAgQJ6U1MVXOaj8PK2l7WJ3RER9xtqwdhxkhw/edit?usp=sharing"",""ฉะเชิงเทรา!I474"")"),0)</f>
        <v>0</v>
      </c>
      <c r="J579" s="198">
        <f ca="1">IFERROR(__xludf.DUMMYFUNCTION("IMPORTRANGE(""https://docs.google.com/spreadsheets/d/1SX6NBoVAgQJ6U1MVXOaj8PK2l7WJ3RER9xtqwdhxkhw/edit?usp=sharing"",""ฉะเชิงเทรา!J474"")"),0)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IFERROR(__xludf.DUMMYFUNCTION("IMPORTRANGE(""https://docs.google.com/spreadsheets/d/1SX6NBoVAgQJ6U1MVXOaj8PK2l7WJ3RER9xtqwdhxkhw/edit?usp=sharing"",""ฉะเชิงเทรา!M475"")"),132459.62)</f>
        <v>132459.62</v>
      </c>
      <c r="O580" s="373">
        <f t="shared" ref="O580:O584" ca="1" si="124">+IF(L580&gt;0,N580*100/L580,0)</f>
        <v>40.359421084704451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IFERROR(__xludf.DUMMYFUNCTION("IMPORTRANGE(""https://docs.google.com/spreadsheets/d/1SX6NBoVAgQJ6U1MVXOaj8PK2l7WJ3RER9xtqwdhxkhw/edit?usp=sharing"",""ฉะเชิงเทรา!L476"")"),0)</f>
        <v>0</v>
      </c>
      <c r="M581" s="164"/>
      <c r="N581" s="169">
        <f ca="1">IFERROR(__xludf.DUMMYFUNCTION("IMPORTRANGE(""https://docs.google.com/spreadsheets/d/1SX6NBoVAgQJ6U1MVXOaj8PK2l7WJ3RER9xtqwdhxkhw/edit?usp=sharing"",""ฉะเชิงเทรา!M476"")"),0)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5"/>
      <c r="N582" s="169">
        <f ca="1">IFERROR(__xludf.DUMMYFUNCTION("IMPORTRANGE(""https://docs.google.com/spreadsheets/d/1SX6NBoVAgQJ6U1MVXOaj8PK2l7WJ3RER9xtqwdhxkhw/edit?usp=sharing"",""ฉะเชิงเทรา!M477"")"),132459.62)</f>
        <v>132459.62</v>
      </c>
      <c r="O582" s="169">
        <f t="shared" ca="1" si="124"/>
        <v>40.359421084704451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IFERROR(__xludf.DUMMYFUNCTION("IMPORTRANGE(""https://docs.google.com/spreadsheets/d/1SX6NBoVAgQJ6U1MVXOaj8PK2l7WJ3RER9xtqwdhxkhw/edit?usp=sharing"",""ฉะเชิงเทรา!L478"")"),0)</f>
        <v>0</v>
      </c>
      <c r="M583" s="169"/>
      <c r="N583" s="169">
        <f ca="1">IFERROR(__xludf.DUMMYFUNCTION("IMPORTRANGE(""https://docs.google.com/spreadsheets/d/1SX6NBoVAgQJ6U1MVXOaj8PK2l7WJ3RER9xtqwdhxkhw/edit?usp=sharing"",""ฉะเชิงเทรา!M478"")"),0)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IFERROR(__xludf.DUMMYFUNCTION("IMPORTRANGE(""https://docs.google.com/spreadsheets/d/1SX6NBoVAgQJ6U1MVXOaj8PK2l7WJ3RER9xtqwdhxkhw/edit?usp=sharing"",""ฉะเชิงเทรา!L479"")"),328200)</f>
        <v>328200</v>
      </c>
      <c r="M584" s="169"/>
      <c r="N584" s="169">
        <f ca="1">IFERROR(__xludf.DUMMYFUNCTION("IMPORTRANGE(""https://docs.google.com/spreadsheets/d/1SX6NBoVAgQJ6U1MVXOaj8PK2l7WJ3RER9xtqwdhxkhw/edit?usp=sharing"",""ฉะเชิงเทรา!M479"")"),132459.62)</f>
        <v>132459.62</v>
      </c>
      <c r="O584" s="169">
        <f t="shared" ca="1" si="124"/>
        <v>40.359421084704451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IFERROR(__xludf.DUMMYFUNCTION("IMPORTRANGE(""https://docs.google.com/spreadsheets/d/1SX6NBoVAgQJ6U1MVXOaj8PK2l7WJ3RER9xtqwdhxkhw/edit?usp=sharing"",""ฉะเชิงเทรา!M480"")"),0)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IFERROR(__xludf.DUMMYFUNCTION("IMPORTRANGE(""https://docs.google.com/spreadsheets/d/1SX6NBoVAgQJ6U1MVXOaj8PK2l7WJ3RER9xtqwdhxkhw/edit?usp=sharing"",""ฉะเชิงเทรา!M481"")"),0)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IFERROR(__xludf.DUMMYFUNCTION("IMPORTRANGE(""https://docs.google.com/spreadsheets/d/1SX6NBoVAgQJ6U1MVXOaj8PK2l7WJ3RER9xtqwdhxkhw/edit?usp=sharing"",""ฉะเชิงเทรา!M482"")"),46566.62)</f>
        <v>46566.62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IFERROR(__xludf.DUMMYFUNCTION("IMPORTRANGE(""https://docs.google.com/spreadsheets/d/1SX6NBoVAgQJ6U1MVXOaj8PK2l7WJ3RER9xtqwdhxkhw/edit?usp=sharing"",""ฉะเชิงเทรา!M483"")"),85893)</f>
        <v>85893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IFERROR(__xludf.DUMMYFUNCTION("IMPORTRANGE(""https://docs.google.com/spreadsheets/d/1SX6NBoVAgQJ6U1MVXOaj8PK2l7WJ3RER9xtqwdhxkhw/edit?usp=sharing"",""ฉะเชิงเทรา!I484"")"),200)</f>
        <v>200</v>
      </c>
      <c r="J589" s="188">
        <f ca="1">IFERROR(__xludf.DUMMYFUNCTION("IMPORTRANGE(""https://docs.google.com/spreadsheets/d/1SX6NBoVAgQJ6U1MVXOaj8PK2l7WJ3RER9xtqwdhxkhw/edit?usp=sharing"",""ฉะเชิงเทรา!J484"")"),206)</f>
        <v>206</v>
      </c>
      <c r="K589" s="163">
        <f t="shared" ref="K589:K596" ca="1" si="125">IF(I589&gt;0,J589*100/I589,0)</f>
        <v>103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8">
        <f ca="1">IFERROR(__xludf.DUMMYFUNCTION("IMPORTRANGE(""https://docs.google.com/spreadsheets/d/1SX6NBoVAgQJ6U1MVXOaj8PK2l7WJ3RER9xtqwdhxkhw/edit?usp=sharing"",""ฉะเชิงเทรา!J485"")"),160.03)</f>
        <v>160.03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IFERROR(__xludf.DUMMYFUNCTION("IMPORTRANGE(""https://docs.google.com/spreadsheets/d/1SX6NBoVAgQJ6U1MVXOaj8PK2l7WJ3RER9xtqwdhxkhw/edit?usp=sharing"",""ฉะเชิงเทรา!I486"")"),200)</f>
        <v>200</v>
      </c>
      <c r="J591" s="188">
        <f ca="1">IFERROR(__xludf.DUMMYFUNCTION("IMPORTRANGE(""https://docs.google.com/spreadsheets/d/1SX6NBoVAgQJ6U1MVXOaj8PK2l7WJ3RER9xtqwdhxkhw/edit?usp=sharing"",""ฉะเชิงเทรา!J486"")"),42)</f>
        <v>42</v>
      </c>
      <c r="K591" s="163">
        <f t="shared" ca="1" si="125"/>
        <v>21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8">
        <f ca="1">IFERROR(__xludf.DUMMYFUNCTION("IMPORTRANGE(""https://docs.google.com/spreadsheets/d/1SX6NBoVAgQJ6U1MVXOaj8PK2l7WJ3RER9xtqwdhxkhw/edit?usp=sharing"",""ฉะเชิงเทรา!J487"")"),34.12)</f>
        <v>34.119999999999997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IFERROR(__xludf.DUMMYFUNCTION("IMPORTRANGE(""https://docs.google.com/spreadsheets/d/1SX6NBoVAgQJ6U1MVXOaj8PK2l7WJ3RER9xtqwdhxkhw/edit?usp=sharing"",""ฉะเชิงเทรา!I488"")"),200)</f>
        <v>200</v>
      </c>
      <c r="J593" s="188">
        <f ca="1">IFERROR(__xludf.DUMMYFUNCTION("IMPORTRANGE(""https://docs.google.com/spreadsheets/d/1SX6NBoVAgQJ6U1MVXOaj8PK2l7WJ3RER9xtqwdhxkhw/edit?usp=sharing"",""ฉะเชิงเทรา!J488"")"),0)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8">
        <f ca="1">IFERROR(__xludf.DUMMYFUNCTION("IMPORTRANGE(""https://docs.google.com/spreadsheets/d/1SX6NBoVAgQJ6U1MVXOaj8PK2l7WJ3RER9xtqwdhxkhw/edit?usp=sharing"",""ฉะเชิงเทรา!J489"")"),0)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IFERROR(__xludf.DUMMYFUNCTION("IMPORTRANGE(""https://docs.google.com/spreadsheets/d/1SX6NBoVAgQJ6U1MVXOaj8PK2l7WJ3RER9xtqwdhxkhw/edit?usp=sharing"",""ฉะเชิงเทรา!I490"")"),200)</f>
        <v>200</v>
      </c>
      <c r="J595" s="188">
        <f ca="1">IFERROR(__xludf.DUMMYFUNCTION("IMPORTRANGE(""https://docs.google.com/spreadsheets/d/1SX6NBoVAgQJ6U1MVXOaj8PK2l7WJ3RER9xtqwdhxkhw/edit?usp=sharing"",""ฉะเชิงเทรา!J490"")"),0)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IFERROR(__xludf.DUMMYFUNCTION("IMPORTRANGE(""https://docs.google.com/spreadsheets/d/1SX6NBoVAgQJ6U1MVXOaj8PK2l7WJ3RER9xtqwdhxkhw/edit?usp=sharing"",""ฉะเชิงเทรา!I491"")"),0)</f>
        <v>0</v>
      </c>
      <c r="J596" s="242">
        <f ca="1">IFERROR(__xludf.DUMMYFUNCTION("IMPORTRANGE(""https://docs.google.com/spreadsheets/d/1SX6NBoVAgQJ6U1MVXOaj8PK2l7WJ3RER9xtqwdhxkhw/edit?usp=sharing"",""ฉะเชิงเทรา!J491"")"),0)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7">
        <f ca="1">IFERROR(__xludf.DUMMYFUNCTION("IMPORTRANGE(""https://docs.google.com/spreadsheets/d/1SX6NBoVAgQJ6U1MVXOaj8PK2l7WJ3RER9xtqwdhxkhw/edit?usp=sharing"",""ฉะเชิงเทรา!J492"")"),0)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IFERROR(__xludf.DUMMYFUNCTION("IMPORTRANGE(""https://docs.google.com/spreadsheets/d/1SX6NBoVAgQJ6U1MVXOaj8PK2l7WJ3RER9xtqwdhxkhw/edit?usp=sharing"",""ฉะเชิงเทรา!L492"")"),5460)</f>
        <v>5460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IFERROR(__xludf.DUMMYFUNCTION("IMPORTRANGE(""https://docs.google.com/spreadsheets/d/1SX6NBoVAgQJ6U1MVXOaj8PK2l7WJ3RER9xtqwdhxkhw/edit?usp=sharing"",""ฉะเชิงเทรา!M492"")"),900)</f>
        <v>900</v>
      </c>
      <c r="O597" s="412">
        <f t="shared" ref="O597:O601" ca="1" si="126">+IF(L597&gt;0,N597*100/L597,0)</f>
        <v>16.483516483516482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IFERROR(__xludf.DUMMYFUNCTION("IMPORTRANGE(""https://docs.google.com/spreadsheets/d/1SX6NBoVAgQJ6U1MVXOaj8PK2l7WJ3RER9xtqwdhxkhw/edit?usp=sharing"",""ฉะเชิงเทรา!L493"")"),0)</f>
        <v>0</v>
      </c>
      <c r="M598" s="164"/>
      <c r="N598" s="169">
        <f ca="1">IFERROR(__xludf.DUMMYFUNCTION("IMPORTRANGE(""https://docs.google.com/spreadsheets/d/1SX6NBoVAgQJ6U1MVXOaj8PK2l7WJ3RER9xtqwdhxkhw/edit?usp=sharing"",""ฉะเชิงเทรา!M493"")"),0)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IFERROR(__xludf.DUMMYFUNCTION("IMPORTRANGE(""https://docs.google.com/spreadsheets/d/1SX6NBoVAgQJ6U1MVXOaj8PK2l7WJ3RER9xtqwdhxkhw/edit?usp=sharing"",""ฉะเชิงเทรา!L494"")"),5460)</f>
        <v>5460</v>
      </c>
      <c r="M599" s="165"/>
      <c r="N599" s="169">
        <f ca="1">IFERROR(__xludf.DUMMYFUNCTION("IMPORTRANGE(""https://docs.google.com/spreadsheets/d/1SX6NBoVAgQJ6U1MVXOaj8PK2l7WJ3RER9xtqwdhxkhw/edit?usp=sharing"",""ฉะเชิงเทรา!M494"")"),900)</f>
        <v>900</v>
      </c>
      <c r="O599" s="169">
        <f t="shared" ca="1" si="126"/>
        <v>16.483516483516482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IFERROR(__xludf.DUMMYFUNCTION("IMPORTRANGE(""https://docs.google.com/spreadsheets/d/1SX6NBoVAgQJ6U1MVXOaj8PK2l7WJ3RER9xtqwdhxkhw/edit?usp=sharing"",""ฉะเชิงเทรา!L495"")"),0)</f>
        <v>0</v>
      </c>
      <c r="M600" s="169"/>
      <c r="N600" s="169">
        <f ca="1">IFERROR(__xludf.DUMMYFUNCTION("IMPORTRANGE(""https://docs.google.com/spreadsheets/d/1SX6NBoVAgQJ6U1MVXOaj8PK2l7WJ3RER9xtqwdhxkhw/edit?usp=sharing"",""ฉะเชิงเทรา!M495"")"),0)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IFERROR(__xludf.DUMMYFUNCTION("IMPORTRANGE(""https://docs.google.com/spreadsheets/d/1SX6NBoVAgQJ6U1MVXOaj8PK2l7WJ3RER9xtqwdhxkhw/edit?usp=sharing"",""ฉะเชิงเทรา!L496"")"),5460)</f>
        <v>5460</v>
      </c>
      <c r="M601" s="169"/>
      <c r="N601" s="169">
        <f ca="1">IFERROR(__xludf.DUMMYFUNCTION("IMPORTRANGE(""https://docs.google.com/spreadsheets/d/1SX6NBoVAgQJ6U1MVXOaj8PK2l7WJ3RER9xtqwdhxkhw/edit?usp=sharing"",""ฉะเชิงเทรา!M496"")"),900)</f>
        <v>900</v>
      </c>
      <c r="O601" s="169">
        <f t="shared" ca="1" si="126"/>
        <v>16.483516483516482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IFERROR(__xludf.DUMMYFUNCTION("IMPORTRANGE(""https://docs.google.com/spreadsheets/d/1SX6NBoVAgQJ6U1MVXOaj8PK2l7WJ3RER9xtqwdhxkhw/edit?usp=sharing"",""ฉะเชิงเทรา!M497"")"),0)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IFERROR(__xludf.DUMMYFUNCTION("IMPORTRANGE(""https://docs.google.com/spreadsheets/d/1SX6NBoVAgQJ6U1MVXOaj8PK2l7WJ3RER9xtqwdhxkhw/edit?usp=sharing"",""ฉะเชิงเทรา!M498"")"),0)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IFERROR(__xludf.DUMMYFUNCTION("IMPORTRANGE(""https://docs.google.com/spreadsheets/d/1SX6NBoVAgQJ6U1MVXOaj8PK2l7WJ3RER9xtqwdhxkhw/edit?usp=sharing"",""ฉะเชิงเทรา!M500"")"),900)</f>
        <v>900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IFERROR(__xludf.DUMMYFUNCTION("IMPORTRANGE(""https://docs.google.com/spreadsheets/d/1SX6NBoVAgQJ6U1MVXOaj8PK2l7WJ3RER9xtqwdhxkhw/edit?usp=sharing"",""ฉะเชิงเทรา!J502"")"),0)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IFERROR(__xludf.DUMMYFUNCTION("IMPORTRANGE(""https://docs.google.com/spreadsheets/d/1SX6NBoVAgQJ6U1MVXOaj8PK2l7WJ3RER9xtqwdhxkhw/edit?usp=sharing"",""ฉะเชิงเทรา!J503"")"),1)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IFERROR(__xludf.DUMMYFUNCTION("IMPORTRANGE(""https://docs.google.com/spreadsheets/d/1SX6NBoVAgQJ6U1MVXOaj8PK2l7WJ3RER9xtqwdhxkhw/edit?usp=sharing"",""ฉะเชิงเทรา!J166"")"),0)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IFERROR(__xludf.DUMMYFUNCTION("IMPORTRANGE(""https://docs.google.com/spreadsheets/d/1SX6NBoVAgQJ6U1MVXOaj8PK2l7WJ3RER9xtqwdhxkhw/edit?usp=sharing"",""ฉะเชิงเทรา!J166"")"),0)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IFERROR(__xludf.DUMMYFUNCTION("IMPORTRANGE(""https://docs.google.com/spreadsheets/d/1SX6NBoVAgQJ6U1MVXOaj8PK2l7WJ3RER9xtqwdhxkhw/edit?usp=sharing"",""ฉะเชิงเทรา!I506"")"),52)</f>
        <v>52</v>
      </c>
      <c r="J611" s="162">
        <f ca="1">IFERROR(__xludf.DUMMYFUNCTION("IMPORTRANGE(""https://docs.google.com/spreadsheets/d/1SX6NBoVAgQJ6U1MVXOaj8PK2l7WJ3RER9xtqwdhxkhw/edit?usp=sharing"",""ฉะเชิงเทรา!J506"")"),0)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IFERROR(__xludf.DUMMYFUNCTION("IMPORTRANGE(""https://docs.google.com/spreadsheets/d/1SX6NBoVAgQJ6U1MVXOaj8PK2l7WJ3RER9xtqwdhxkhw/edit?usp=sharing"",""ฉะเชิงเทรา!I507"")"),0)</f>
        <v>0</v>
      </c>
      <c r="J612" s="198">
        <f ca="1">IFERROR(__xludf.DUMMYFUNCTION("IMPORTRANGE(""https://docs.google.com/spreadsheets/d/1SX6NBoVAgQJ6U1MVXOaj8PK2l7WJ3RER9xtqwdhxkhw/edit?usp=sharing"",""ฉะเชิงเทรา!J507"")"),50.55)</f>
        <v>50.55</v>
      </c>
      <c r="K612" s="163">
        <f t="shared" ca="1" si="127"/>
        <v>97.211538461538467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IFERROR(__xludf.DUMMYFUNCTION("IMPORTRANGE(""https://docs.google.com/spreadsheets/d/1SX6NBoVAgQJ6U1MVXOaj8PK2l7WJ3RER9xtqwdhxkhw/edit?usp=sharing"",""ฉะเชิงเทรา!I508"")"),0)</f>
        <v>0</v>
      </c>
      <c r="J613" s="198">
        <f ca="1">IFERROR(__xludf.DUMMYFUNCTION("IMPORTRANGE(""https://docs.google.com/spreadsheets/d/1SX6NBoVAgQJ6U1MVXOaj8PK2l7WJ3RER9xtqwdhxkhw/edit?usp=sharing"",""ฉะเชิงเทรา!J508"")"),50.55)</f>
        <v>50.55</v>
      </c>
      <c r="K613" s="163">
        <f t="shared" ca="1" si="127"/>
        <v>97.211538461538467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IFERROR(__xludf.DUMMYFUNCTION("IMPORTRANGE(""https://docs.google.com/spreadsheets/d/1SX6NBoVAgQJ6U1MVXOaj8PK2l7WJ3RER9xtqwdhxkhw/edit?usp=sharing"",""ฉะเชิงเทรา!I509"")"),0)</f>
        <v>0</v>
      </c>
      <c r="J614" s="198">
        <f ca="1">IFERROR(__xludf.DUMMYFUNCTION("IMPORTRANGE(""https://docs.google.com/spreadsheets/d/1SX6NBoVAgQJ6U1MVXOaj8PK2l7WJ3RER9xtqwdhxkhw/edit?usp=sharing"",""ฉะเชิงเทรา!J509"")"),0)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IFERROR(__xludf.DUMMYFUNCTION("IMPORTRANGE(""https://docs.google.com/spreadsheets/d/1SX6NBoVAgQJ6U1MVXOaj8PK2l7WJ3RER9xtqwdhxkhw/edit?usp=sharing"",""ฉะเชิงเทรา!I510"")"),0)</f>
        <v>0</v>
      </c>
      <c r="J615" s="198">
        <f ca="1">IFERROR(__xludf.DUMMYFUNCTION("IMPORTRANGE(""https://docs.google.com/spreadsheets/d/1SX6NBoVAgQJ6U1MVXOaj8PK2l7WJ3RER9xtqwdhxkhw/edit?usp=sharing"",""ฉะเชิงเทรา!J510"")"),0)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IFERROR(__xludf.DUMMYFUNCTION("IMPORTRANGE(""https://docs.google.com/spreadsheets/d/1SX6NBoVAgQJ6U1MVXOaj8PK2l7WJ3RER9xtqwdhxkhw/edit?usp=sharing"",""ฉะเชิงเทรา!I511"")"),0)</f>
        <v>0</v>
      </c>
      <c r="J616" s="198">
        <f ca="1">IFERROR(__xludf.DUMMYFUNCTION("IMPORTRANGE(""https://docs.google.com/spreadsheets/d/1SX6NBoVAgQJ6U1MVXOaj8PK2l7WJ3RER9xtqwdhxkhw/edit?usp=sharing"",""ฉะเชิงเทรา!J511"")"),0)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IFERROR(__xludf.DUMMYFUNCTION("IMPORTRANGE(""https://docs.google.com/spreadsheets/d/1SX6NBoVAgQJ6U1MVXOaj8PK2l7WJ3RER9xtqwdhxkhw/edit?usp=sharing"",""ฉะเชิงเทรา!I512"")"),0)</f>
        <v>0</v>
      </c>
      <c r="J617" s="188">
        <f ca="1">IFERROR(__xludf.DUMMYFUNCTION("IMPORTRANGE(""https://docs.google.com/spreadsheets/d/1SX6NBoVAgQJ6U1MVXOaj8PK2l7WJ3RER9xtqwdhxkhw/edit?usp=sharing"",""ฉะเชิงเทรา!J512"")"),0)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IFERROR(__xludf.DUMMYFUNCTION("IMPORTRANGE(""https://docs.google.com/spreadsheets/d/1SX6NBoVAgQJ6U1MVXOaj8PK2l7WJ3RER9xtqwdhxkhw/edit?usp=sharing"",""ฉะเชิงเทรา!I513"")"),0)</f>
        <v>0</v>
      </c>
      <c r="J618" s="189">
        <f ca="1">IFERROR(__xludf.DUMMYFUNCTION("IMPORTRANGE(""https://docs.google.com/spreadsheets/d/1SX6NBoVAgQJ6U1MVXOaj8PK2l7WJ3RER9xtqwdhxkhw/edit?usp=sharing"",""ฉะเชิงเทรา!J513"")"),0)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IFERROR(__xludf.DUMMYFUNCTION("IMPORTRANGE(""https://docs.google.com/spreadsheets/d/1SX6NBoVAgQJ6U1MVXOaj8PK2l7WJ3RER9xtqwdhxkhw/edit?usp=sharing"",""ฉะเชิงเทรา!I514"")"),0)</f>
        <v>0</v>
      </c>
      <c r="J619" s="189">
        <f ca="1">IFERROR(__xludf.DUMMYFUNCTION("IMPORTRANGE(""https://docs.google.com/spreadsheets/d/1SX6NBoVAgQJ6U1MVXOaj8PK2l7WJ3RER9xtqwdhxkhw/edit?usp=sharing"",""ฉะเชิงเทรา!J514"")"),0)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IFERROR(__xludf.DUMMYFUNCTION("IMPORTRANGE(""https://docs.google.com/spreadsheets/d/1SX6NBoVAgQJ6U1MVXOaj8PK2l7WJ3RER9xtqwdhxkhw/edit?usp=sharing"",""ฉะเชิงเทรา!I515"")"),0)</f>
        <v>0</v>
      </c>
      <c r="J620" s="203">
        <f ca="1">IFERROR(__xludf.DUMMYFUNCTION("IMPORTRANGE(""https://docs.google.com/spreadsheets/d/1SX6NBoVAgQJ6U1MVXOaj8PK2l7WJ3RER9xtqwdhxkhw/edit?usp=sharing"",""ฉะเชิงเทรา!J515"")"),0)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IFERROR(__xludf.DUMMYFUNCTION("IMPORTRANGE(""https://docs.google.com/spreadsheets/d/1SX6NBoVAgQJ6U1MVXOaj8PK2l7WJ3RER9xtqwdhxkhw/edit?usp=sharing"",""ฉะเชิงเทรา!I516"")"),0)</f>
        <v>0</v>
      </c>
      <c r="J621" s="203">
        <f ca="1">IFERROR(__xludf.DUMMYFUNCTION("IMPORTRANGE(""https://docs.google.com/spreadsheets/d/1SX6NBoVAgQJ6U1MVXOaj8PK2l7WJ3RER9xtqwdhxkhw/edit?usp=sharing"",""ฉะเชิงเทรา!J516"")"),0)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IFERROR(__xludf.DUMMYFUNCTION("IMPORTRANGE(""https://docs.google.com/spreadsheets/d/1SX6NBoVAgQJ6U1MVXOaj8PK2l7WJ3RER9xtqwdhxkhw/edit?usp=sharing"",""ฉะเชิงเทรา!I517"")"),0)</f>
        <v>0</v>
      </c>
      <c r="J622" s="189">
        <f ca="1">IFERROR(__xludf.DUMMYFUNCTION("IMPORTRANGE(""https://docs.google.com/spreadsheets/d/1SX6NBoVAgQJ6U1MVXOaj8PK2l7WJ3RER9xtqwdhxkhw/edit?usp=sharing"",""ฉะเชิงเทรา!J517"")"),0)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IFERROR(__xludf.DUMMYFUNCTION("IMPORTRANGE(""https://docs.google.com/spreadsheets/d/1SX6NBoVAgQJ6U1MVXOaj8PK2l7WJ3RER9xtqwdhxkhw/edit?usp=sharing"",""ฉะเชิงเทรา!I518"")"),0)</f>
        <v>0</v>
      </c>
      <c r="J623" s="189">
        <f ca="1">IFERROR(__xludf.DUMMYFUNCTION("IMPORTRANGE(""https://docs.google.com/spreadsheets/d/1SX6NBoVAgQJ6U1MVXOaj8PK2l7WJ3RER9xtqwdhxkhw/edit?usp=sharing"",""ฉะเชิงเทรา!J518"")"),0)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IFERROR(__xludf.DUMMYFUNCTION("IMPORTRANGE(""https://docs.google.com/spreadsheets/d/1SX6NBoVAgQJ6U1MVXOaj8PK2l7WJ3RER9xtqwdhxkhw/edit?usp=sharing"",""ฉะเชิงเทรา!I519"")"),0)</f>
        <v>0</v>
      </c>
      <c r="J624" s="188">
        <f ca="1">IFERROR(__xludf.DUMMYFUNCTION("IMPORTRANGE(""https://docs.google.com/spreadsheets/d/1SX6NBoVAgQJ6U1MVXOaj8PK2l7WJ3RER9xtqwdhxkhw/edit?usp=sharing"",""ฉะเชิงเทรา!J519"")"),0)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IFERROR(__xludf.DUMMYFUNCTION("IMPORTRANGE(""https://docs.google.com/spreadsheets/d/1SX6NBoVAgQJ6U1MVXOaj8PK2l7WJ3RER9xtqwdhxkhw/edit?usp=sharing"",""ฉะเชิงเทรา!I520"")"),0)</f>
        <v>0</v>
      </c>
      <c r="J625" s="189">
        <f ca="1">IFERROR(__xludf.DUMMYFUNCTION("IMPORTRANGE(""https://docs.google.com/spreadsheets/d/1SX6NBoVAgQJ6U1MVXOaj8PK2l7WJ3RER9xtqwdhxkhw/edit?usp=sharing"",""ฉะเชิงเทรา!J520"")"),0)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IFERROR(__xludf.DUMMYFUNCTION("IMPORTRANGE(""https://docs.google.com/spreadsheets/d/1SX6NBoVAgQJ6U1MVXOaj8PK2l7WJ3RER9xtqwdhxkhw/edit?usp=sharing"",""ฉะเชิงเทรา!I521"")"),0)</f>
        <v>0</v>
      </c>
      <c r="J626" s="189">
        <f ca="1">IFERROR(__xludf.DUMMYFUNCTION("IMPORTRANGE(""https://docs.google.com/spreadsheets/d/1SX6NBoVAgQJ6U1MVXOaj8PK2l7WJ3RER9xtqwdhxkhw/edit?usp=sharing"",""ฉะเชิงเทรา!J521"")"),0)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2">
        <f ca="1">IFERROR(__xludf.DUMMYFUNCTION("IMPORTRANGE(""https://docs.google.com/spreadsheets/d/1SX6NBoVAgQJ6U1MVXOaj8PK2l7WJ3RER9xtqwdhxkhw/edit?usp=sharing"",""ฉะเชิงเทรา!J523"")"),2602368.67)</f>
        <v>2602368.67</v>
      </c>
      <c r="K628" s="343">
        <f t="shared" ref="K628:K635" ca="1" si="129">IF(I628&gt;0,J628*100/I628,0)</f>
        <v>67.734085397567497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IFERROR(__xludf.DUMMYFUNCTION("IMPORTRANGE(""https://docs.google.com/spreadsheets/d/1SX6NBoVAgQJ6U1MVXOaj8PK2l7WJ3RER9xtqwdhxkhw/edit?usp=sharing"",""ฉะเชิงเทรา!I524"")"),157)</f>
        <v>157</v>
      </c>
      <c r="J629" s="342">
        <f ca="1">IFERROR(__xludf.DUMMYFUNCTION("IMPORTRANGE(""https://docs.google.com/spreadsheets/d/1SX6NBoVAgQJ6U1MVXOaj8PK2l7WJ3RER9xtqwdhxkhw/edit?usp=sharing"",""ฉะเชิงเทรา!J524"")"),139)</f>
        <v>139</v>
      </c>
      <c r="K629" s="343">
        <f t="shared" ca="1" si="129"/>
        <v>88.535031847133752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2">
        <f ca="1">IFERROR(__xludf.DUMMYFUNCTION("IMPORTRANGE(""https://docs.google.com/spreadsheets/d/1SX6NBoVAgQJ6U1MVXOaj8PK2l7WJ3RER9xtqwdhxkhw/edit?usp=sharing"",""ฉะเชิงเทรา!J525"")"),174693.59)</f>
        <v>174693.59</v>
      </c>
      <c r="K630" s="343">
        <f t="shared" ca="1" si="129"/>
        <v>1.677425872870234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IFERROR(__xludf.DUMMYFUNCTION("IMPORTRANGE(""https://docs.google.com/spreadsheets/d/1SX6NBoVAgQJ6U1MVXOaj8PK2l7WJ3RER9xtqwdhxkhw/edit?usp=sharing"",""ฉะเชิงเทรา!I526"")"),275)</f>
        <v>275</v>
      </c>
      <c r="J631" s="342">
        <f ca="1">IFERROR(__xludf.DUMMYFUNCTION("IMPORTRANGE(""https://docs.google.com/spreadsheets/d/1SX6NBoVAgQJ6U1MVXOaj8PK2l7WJ3RER9xtqwdhxkhw/edit?usp=sharing"",""ฉะเชิงเทรา!J526"")"),104)</f>
        <v>104</v>
      </c>
      <c r="K631" s="343">
        <f t="shared" ca="1" si="129"/>
        <v>37.81818181818182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2">
        <f ca="1">IFERROR(__xludf.DUMMYFUNCTION("IMPORTRANGE(""https://docs.google.com/spreadsheets/d/1SX6NBoVAgQJ6U1MVXOaj8PK2l7WJ3RER9xtqwdhxkhw/edit?usp=sharing"",""ฉะเชิงเทรา!J527"")"),2468090.85)</f>
        <v>2468090.85</v>
      </c>
      <c r="K632" s="343">
        <f t="shared" ca="1" si="129"/>
        <v>43.558424442478426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IFERROR(__xludf.DUMMYFUNCTION("IMPORTRANGE(""https://docs.google.com/spreadsheets/d/1SX6NBoVAgQJ6U1MVXOaj8PK2l7WJ3RER9xtqwdhxkhw/edit?usp=sharing"",""ฉะเชิงเทรา!I528"")"),2632)</f>
        <v>2632</v>
      </c>
      <c r="J633" s="342">
        <f ca="1">IFERROR(__xludf.DUMMYFUNCTION("IMPORTRANGE(""https://docs.google.com/spreadsheets/d/1SX6NBoVAgQJ6U1MVXOaj8PK2l7WJ3RER9xtqwdhxkhw/edit?usp=sharing"",""ฉะเชิงเทรา!J528"")"),1563)</f>
        <v>1563</v>
      </c>
      <c r="K633" s="343">
        <f t="shared" ca="1" si="129"/>
        <v>59.38449848024316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42">
        <f ca="1">IFERROR(__xludf.DUMMYFUNCTION("IMPORTRANGE(""https://docs.google.com/spreadsheets/d/1SX6NBoVAgQJ6U1MVXOaj8PK2l7WJ3RER9xtqwdhxkhw/edit?usp=sharing"",""ฉะเชิงเทรา!J529"")"),1920000)</f>
        <v>1920000</v>
      </c>
      <c r="K634" s="343">
        <f t="shared" ca="1" si="129"/>
        <v>64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IFERROR(__xludf.DUMMYFUNCTION("IMPORTRANGE(""https://docs.google.com/spreadsheets/d/1SX6NBoVAgQJ6U1MVXOaj8PK2l7WJ3RER9xtqwdhxkhw/edit?usp=sharing"",""ฉะเชิงเทรา!I530"")"),100)</f>
        <v>100</v>
      </c>
      <c r="J635" s="504">
        <f ca="1">IFERROR(__xludf.DUMMYFUNCTION("IMPORTRANGE(""https://docs.google.com/spreadsheets/d/1SX6NBoVAgQJ6U1MVXOaj8PK2l7WJ3RER9xtqwdhxkhw/edit?usp=sharing"",""ฉะเชิงเทรา!J530"")"),62)</f>
        <v>62</v>
      </c>
      <c r="K635" s="486">
        <f t="shared" ca="1" si="129"/>
        <v>62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61080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61080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61080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IFERROR(__xludf.DUMMYFUNCTION("IMPORTRANGE(""https://docs.google.com/spreadsheets/d/1SX6NBoVAgQJ6U1MVXOaj8PK2l7WJ3RER9xtqwdhxkhw/edit#gid=346597447"",""ฉะเชิงเทรา!J541"")"),0)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IFERROR(__xludf.DUMMYFUNCTION("IMPORTRANGE(""https://docs.google.com/spreadsheets/d/1SX6NBoVAgQJ6U1MVXOaj8PK2l7WJ3RER9xtqwdhxkhw/edit#gid=346597447"",""ฉะเชิงเทรา!J542"")"),0)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IFERROR(__xludf.DUMMYFUNCTION("IMPORTRANGE(""https://docs.google.com/spreadsheets/d/1SX6NBoVAgQJ6U1MVXOaj8PK2l7WJ3RER9xtqwdhxkhw/edit#gid=346597447"",""ฉะเชิงเทรา!I543"")"),0)</f>
        <v>0</v>
      </c>
      <c r="J648" s="536">
        <f ca="1">IFERROR(__xludf.DUMMYFUNCTION("IMPORTRANGE(""https://docs.google.com/spreadsheets/d/1SX6NBoVAgQJ6U1MVXOaj8PK2l7WJ3RER9xtqwdhxkhw/edit#gid=346597447"",""ฉะเชิงเทรา!J543"")"),0)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IFERROR(__xludf.DUMMYFUNCTION("IMPORTRANGE(""https://docs.google.com/spreadsheets/d/1SX6NBoVAgQJ6U1MVXOaj8PK2l7WJ3RER9xtqwdhxkhw/edit#gid=346597447"",""ฉะเชิงเทรา!L543"")"),0)</f>
        <v>0</v>
      </c>
      <c r="M648" s="521"/>
      <c r="N648" s="538">
        <f ca="1">IFERROR(__xludf.DUMMYFUNCTION("IMPORTRANGE(""https://docs.google.com/spreadsheets/d/1SX6NBoVAgQJ6U1MVXOaj8PK2l7WJ3RER9xtqwdhxkhw/edit#gid=346597447"",""ฉะเชิงเทรา!M543"")"),0)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IFERROR(__xludf.DUMMYFUNCTION("IMPORTRANGE(""https://docs.google.com/spreadsheets/d/1SX6NBoVAgQJ6U1MVXOaj8PK2l7WJ3RER9xtqwdhxkhw/edit#gid=346597447"",""ฉะเชิงเทรา!I544"")"),20)</f>
        <v>20</v>
      </c>
      <c r="J649" s="536">
        <f ca="1">IFERROR(__xludf.DUMMYFUNCTION("IMPORTRANGE(""https://docs.google.com/spreadsheets/d/1SX6NBoVAgQJ6U1MVXOaj8PK2l7WJ3RER9xtqwdhxkhw/edit#gid=346597447"",""ฉะเชิงเทรา!J544"")"),0)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IFERROR(__xludf.DUMMYFUNCTION("IMPORTRANGE(""https://docs.google.com/spreadsheets/d/1SX6NBoVAgQJ6U1MVXOaj8PK2l7WJ3RER9xtqwdhxkhw/edit#gid=346597447"",""ฉะเชิงเทรา!L544"")"),2400)</f>
        <v>2400</v>
      </c>
      <c r="M649" s="521"/>
      <c r="N649" s="538">
        <f ca="1">IFERROR(__xludf.DUMMYFUNCTION("IMPORTRANGE(""https://docs.google.com/spreadsheets/d/1SX6NBoVAgQJ6U1MVXOaj8PK2l7WJ3RER9xtqwdhxkhw/edit#gid=346597447"",""ฉะเชิงเทรา!M544"")"),0)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IFERROR(__xludf.DUMMYFUNCTION("IMPORTRANGE(""https://docs.google.com/spreadsheets/d/1SX6NBoVAgQJ6U1MVXOaj8PK2l7WJ3RER9xtqwdhxkhw/edit#gid=346597447"",""ฉะเชิงเทรา!I545"")"),698)</f>
        <v>698</v>
      </c>
      <c r="J650" s="536">
        <f ca="1">IFERROR(__xludf.DUMMYFUNCTION("IMPORTRANGE(""https://docs.google.com/spreadsheets/d/1SX6NBoVAgQJ6U1MVXOaj8PK2l7WJ3RER9xtqwdhxkhw/edit#gid=346597447"",""ฉะเชิงเทรา!J545"")"),0)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IFERROR(__xludf.DUMMYFUNCTION("IMPORTRANGE(""https://docs.google.com/spreadsheets/d/1SX6NBoVAgQJ6U1MVXOaj8PK2l7WJ3RER9xtqwdhxkhw/edit#gid=346597447"",""ฉะเชิงเทรา!L545"")"),3490)</f>
        <v>3490</v>
      </c>
      <c r="M650" s="521"/>
      <c r="N650" s="538">
        <f ca="1">IFERROR(__xludf.DUMMYFUNCTION("IMPORTRANGE(""https://docs.google.com/spreadsheets/d/1SX6NBoVAgQJ6U1MVXOaj8PK2l7WJ3RER9xtqwdhxkhw/edit#gid=346597447"",""ฉะเชิงเทรา!M545"")"),0)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IFERROR(__xludf.DUMMYFUNCTION("IMPORTRANGE(""https://docs.google.com/spreadsheets/d/1SX6NBoVAgQJ6U1MVXOaj8PK2l7WJ3RER9xtqwdhxkhw/edit#gid=346597447"",""ฉะเชิงเทรา!I546"")"),150)</f>
        <v>150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IFERROR(__xludf.DUMMYFUNCTION("IMPORTRANGE(""https://docs.google.com/spreadsheets/d/1SX6NBoVAgQJ6U1MVXOaj8PK2l7WJ3RER9xtqwdhxkhw/edit#gid=346597447"",""ฉะเชิงเทรา!L546"")"),3750)</f>
        <v>3750</v>
      </c>
      <c r="M651" s="521"/>
      <c r="N651" s="560"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IFERROR(__xludf.DUMMYFUNCTION("IMPORTRANGE(""https://docs.google.com/spreadsheets/d/1SX6NBoVAgQJ6U1MVXOaj8PK2l7WJ3RER9xtqwdhxkhw/edit#gid=346597447"",""ฉะเชิงเทรา!J547"")"),0)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IFERROR(__xludf.DUMMYFUNCTION("IMPORTRANGE(""https://docs.google.com/spreadsheets/d/1SX6NBoVAgQJ6U1MVXOaj8PK2l7WJ3RER9xtqwdhxkhw/edit#gid=346597447"",""ฉะเชิงเทรา!J548"")"),0)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IFERROR(__xludf.DUMMYFUNCTION("IMPORTRANGE(""https://docs.google.com/spreadsheets/d/1SX6NBoVAgQJ6U1MVXOaj8PK2l7WJ3RER9xtqwdhxkhw/edit#gid=346597447"",""ฉะเชิงเทรา!J550"")"),0)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IFERROR(__xludf.DUMMYFUNCTION("IMPORTRANGE(""https://docs.google.com/spreadsheets/d/1SX6NBoVAgQJ6U1MVXOaj8PK2l7WJ3RER9xtqwdhxkhw/edit#gid=346597447"",""ฉะเชิงเทรา!J551"")"),0)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IFERROR(__xludf.DUMMYFUNCTION("IMPORTRANGE(""https://docs.google.com/spreadsheets/d/1SX6NBoVAgQJ6U1MVXOaj8PK2l7WJ3RER9xtqwdhxkhw/edit#gid=346597447"",""ฉะเชิงเทรา!J552"")"),0)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IFERROR(__xludf.DUMMYFUNCTION("IMPORTRANGE(""https://docs.google.com/spreadsheets/d/1SX6NBoVAgQJ6U1MVXOaj8PK2l7WJ3RER9xtqwdhxkhw/edit#gid=346597447"",""ฉะเชิงเทรา!J553"")"),0)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IFERROR(__xludf.DUMMYFUNCTION("IMPORTRANGE(""https://docs.google.com/spreadsheets/d/1SX6NBoVAgQJ6U1MVXOaj8PK2l7WJ3RER9xtqwdhxkhw/edit#gid=346597447"",""ฉะเชิงเทรา!J554"")"),0)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IFERROR(__xludf.DUMMYFUNCTION("IMPORTRANGE(""https://docs.google.com/spreadsheets/d/1SX6NBoVAgQJ6U1MVXOaj8PK2l7WJ3RER9xtqwdhxkhw/edit#gid=346597447"",""ฉะเชิงเทรา!J555"")"),0)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IFERROR(__xludf.DUMMYFUNCTION("IMPORTRANGE(""https://docs.google.com/spreadsheets/d/1SX6NBoVAgQJ6U1MVXOaj8PK2l7WJ3RER9xtqwdhxkhw/edit#gid=346597447"",""ฉะเชิงเทรา!J556"")"),0)</f>
        <v>0</v>
      </c>
      <c r="K661" s="537"/>
      <c r="L661" s="522">
        <f ca="1">IFERROR(__xludf.DUMMYFUNCTION("IMPORTRANGE(""https://docs.google.com/spreadsheets/d/1SX6NBoVAgQJ6U1MVXOaj8PK2l7WJ3RER9xtqwdhxkhw/edit#gid=346597447"",""ฉะเชิงเทรา!L556"")"),30480)</f>
        <v>30480</v>
      </c>
      <c r="M661" s="521"/>
      <c r="N661" s="538">
        <f ca="1">IFERROR(__xludf.DUMMYFUNCTION("IMPORTRANGE(""https://docs.google.com/spreadsheets/d/1SX6NBoVAgQJ6U1MVXOaj8PK2l7WJ3RER9xtqwdhxkhw/edit#gid=346597447"",""ฉะเชิงเทรา!M556"")"),0)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IFERROR(__xludf.DUMMYFUNCTION("IMPORTRANGE(""https://docs.google.com/spreadsheets/d/1SX6NBoVAgQJ6U1MVXOaj8PK2l7WJ3RER9xtqwdhxkhw/edit#gid=346597447"",""ฉะเชิงเทรา!J557"")"),0)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IFERROR(__xludf.DUMMYFUNCTION("IMPORTRANGE(""https://docs.google.com/spreadsheets/d/1SX6NBoVAgQJ6U1MVXOaj8PK2l7WJ3RER9xtqwdhxkhw/edit#gid=346597447"",""ฉะเชิงเทรา!I558"")"),762)</f>
        <v>762</v>
      </c>
      <c r="J663" s="536">
        <f ca="1">IFERROR(__xludf.DUMMYFUNCTION("IMPORTRANGE(""https://docs.google.com/spreadsheets/d/1SX6NBoVAgQJ6U1MVXOaj8PK2l7WJ3RER9xtqwdhxkhw/edit#gid=346597447"",""ฉะเชิงเทรา!J558"")"),0)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IFERROR(__xludf.DUMMYFUNCTION("IMPORTRANGE(""https://docs.google.com/spreadsheets/d/1SX6NBoVAgQJ6U1MVXOaj8PK2l7WJ3RER9xtqwdhxkhw/edit#gid=346597447"",""ฉะเชิงเทรา!I560"")"),32)</f>
        <v>32</v>
      </c>
      <c r="J665" s="536">
        <f ca="1">IFERROR(__xludf.DUMMYFUNCTION("IMPORTRANGE(""https://docs.google.com/spreadsheets/d/1SX6NBoVAgQJ6U1MVXOaj8PK2l7WJ3RER9xtqwdhxkhw/edit#gid=346597447"",""ฉะเชิงเทรา!J560"")"),0)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IFERROR(__xludf.DUMMYFUNCTION("IMPORTRANGE(""https://docs.google.com/spreadsheets/d/1SX6NBoVAgQJ6U1MVXOaj8PK2l7WJ3RER9xtqwdhxkhw/edit#gid=346597447"",""ฉะเชิงเทรา!L560"")"),3840)</f>
        <v>3840</v>
      </c>
      <c r="M665" s="521"/>
      <c r="N665" s="538">
        <f ca="1">IFERROR(__xludf.DUMMYFUNCTION("IMPORTRANGE(""https://docs.google.com/spreadsheets/d/1SX6NBoVAgQJ6U1MVXOaj8PK2l7WJ3RER9xtqwdhxkhw/edit#gid=346597447"",""ฉะเชิงเทรา!M560"")"),0)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IFERROR(__xludf.DUMMYFUNCTION("IMPORTRANGE(""https://docs.google.com/spreadsheets/d/1SX6NBoVAgQJ6U1MVXOaj8PK2l7WJ3RER9xtqwdhxkhw/edit#gid=346597447"",""ฉะเชิงเทรา!J561"")"),0)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IFERROR(__xludf.DUMMYFUNCTION("IMPORTRANGE(""https://docs.google.com/spreadsheets/d/1SX6NBoVAgQJ6U1MVXOaj8PK2l7WJ3RER9xtqwdhxkhw/edit#gid=346597447"",""ฉะเชิงเทรา!J562"")"),0)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IFERROR(__xludf.DUMMYFUNCTION("IMPORTRANGE(""https://docs.google.com/spreadsheets/d/1SX6NBoVAgQJ6U1MVXOaj8PK2l7WJ3RER9xtqwdhxkhw/edit#gid=346597447"",""ฉะเชิงเทรา!I563"")"),4)</f>
        <v>4</v>
      </c>
      <c r="J668" s="536">
        <f ca="1">IFERROR(__xludf.DUMMYFUNCTION("IMPORTRANGE(""https://docs.google.com/spreadsheets/d/1SX6NBoVAgQJ6U1MVXOaj8PK2l7WJ3RER9xtqwdhxkhw/edit#gid=346597447"",""ฉะเชิงเทรา!J563"")"),0)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IFERROR(__xludf.DUMMYFUNCTION("IMPORTRANGE(""https://docs.google.com/spreadsheets/d/1SX6NBoVAgQJ6U1MVXOaj8PK2l7WJ3RER9xtqwdhxkhw/edit#gid=346597447"",""ฉะเชิงเทรา!L563"")"),6240)</f>
        <v>6240</v>
      </c>
      <c r="M668" s="521"/>
      <c r="N668" s="538">
        <f ca="1">IFERROR(__xludf.DUMMYFUNCTION("IMPORTRANGE(""https://docs.google.com/spreadsheets/d/1SX6NBoVAgQJ6U1MVXOaj8PK2l7WJ3RER9xtqwdhxkhw/edit#gid=346597447"",""ฉะเชิงเทรา!M563"")"),0)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IFERROR(__xludf.DUMMYFUNCTION("IMPORTRANGE(""https://docs.google.com/spreadsheets/d/1SX6NBoVAgQJ6U1MVXOaj8PK2l7WJ3RER9xtqwdhxkhw/edit#gid=346597447"",""ฉะเชิงเทรา!J564"")"),0)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IFERROR(__xludf.DUMMYFUNCTION("IMPORTRANGE(""https://docs.google.com/spreadsheets/d/1SX6NBoVAgQJ6U1MVXOaj8PK2l7WJ3RER9xtqwdhxkhw/edit#gid=346597447"",""ฉะเชิงเทรา!J565"")"),0)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IFERROR(__xludf.DUMMYFUNCTION("IMPORTRANGE(""https://docs.google.com/spreadsheets/d/1SX6NBoVAgQJ6U1MVXOaj8PK2l7WJ3RER9xtqwdhxkhw/edit#gid=346597447"",""ฉะเชิงเทรา!I566"")"),136)</f>
        <v>136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IFERROR(__xludf.DUMMYFUNCTION("IMPORTRANGE(""https://docs.google.com/spreadsheets/d/1SX6NBoVAgQJ6U1MVXOaj8PK2l7WJ3RER9xtqwdhxkhw/edit#gid=346597447"",""ฉะเชิงเทรา!L566"")"),10880)</f>
        <v>10880</v>
      </c>
      <c r="M671" s="521"/>
      <c r="N671" s="538">
        <f ca="1">IFERROR(__xludf.DUMMYFUNCTION("IMPORTRANGE(""https://docs.google.com/spreadsheets/d/1SX6NBoVAgQJ6U1MVXOaj8PK2l7WJ3RER9xtqwdhxkhw/edit#gid=346597447"",""ฉะเชิงเทรา!M566"")"),0)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IFERROR(__xludf.DUMMYFUNCTION("IMPORTRANGE(""https://docs.google.com/spreadsheets/d/1SX6NBoVAgQJ6U1MVXOaj8PK2l7WJ3RER9xtqwdhxkhw/edit#gid=346597447"",""ฉะเชิงเทรา!J567"")"),0)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IFERROR(__xludf.DUMMYFUNCTION("IMPORTRANGE(""https://docs.google.com/spreadsheets/d/1SX6NBoVAgQJ6U1MVXOaj8PK2l7WJ3RER9xtqwdhxkhw/edit#gid=346597447"",""ฉะเชิงเทรา!J568"")"),0)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IFERROR(__xludf.DUMMYFUNCTION("IMPORTRANGE(""https://docs.google.com/spreadsheets/d/1SX6NBoVAgQJ6U1MVXOaj8PK2l7WJ3RER9xtqwdhxkhw/edit#gid=346597447"",""ฉะเชิงเทรา!J569"")"),0)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IFERROR(__xludf.DUMMYFUNCTION("IMPORTRANGE(""https://docs.google.com/spreadsheets/d/1SX6NBoVAgQJ6U1MVXOaj8PK2l7WJ3RER9xtqwdhxkhw/edit#gid=346597447"",""ฉะเชิงเทรา!J570"")"),0)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IFERROR(__xludf.DUMMYFUNCTION("IMPORTRANGE(""https://docs.google.com/spreadsheets/d/1SX6NBoVAgQJ6U1MVXOaj8PK2l7WJ3RER9xtqwdhxkhw/edit#gid=346597447"",""ฉะเชิงเทรา!J571"")"),0)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IFERROR(__xludf.DUMMYFUNCTION("IMPORTRANGE(""https://docs.google.com/spreadsheets/d/1SX6NBoVAgQJ6U1MVXOaj8PK2l7WJ3RER9xtqwdhxkhw/edit#gid=346597447"",""ฉะเชิงเทรา!J572"")"),0)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266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5425995</v>
      </c>
      <c r="M8" s="23">
        <f t="shared" ca="1" si="0"/>
        <v>3144698.74</v>
      </c>
      <c r="N8" s="23">
        <f t="shared" ca="1" si="0"/>
        <v>2988955.29</v>
      </c>
      <c r="O8" s="22">
        <f t="shared" ref="O8:O16" ca="1" si="1">IF(L8&gt;0,N8*100/L8,0)</f>
        <v>55.085846743316203</v>
      </c>
      <c r="P8" s="22">
        <f t="shared" ref="P8:P16" ca="1" si="2">IF(M8&gt;0,N8*100/M8,0)</f>
        <v>95.047428613145939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5425995</v>
      </c>
      <c r="M10" s="30">
        <f t="shared" ca="1" si="4"/>
        <v>3144698.74</v>
      </c>
      <c r="N10" s="30">
        <f t="shared" ca="1" si="4"/>
        <v>2988955.29</v>
      </c>
      <c r="O10" s="29">
        <f t="shared" ca="1" si="1"/>
        <v>55.085846743316203</v>
      </c>
      <c r="P10" s="29">
        <f t="shared" ca="1" si="2"/>
        <v>95.047428613145939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4939595</v>
      </c>
      <c r="M12" s="38">
        <f t="shared" ca="1" si="6"/>
        <v>2658298.7400000002</v>
      </c>
      <c r="N12" s="38">
        <f t="shared" ca="1" si="6"/>
        <v>2502555.29</v>
      </c>
      <c r="O12" s="38">
        <f t="shared" ca="1" si="1"/>
        <v>50.663167526892387</v>
      </c>
      <c r="P12" s="38">
        <f t="shared" ca="1" si="2"/>
        <v>94.141235984635784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1866100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3073495</v>
      </c>
      <c r="M14" s="38">
        <f t="shared" si="8"/>
        <v>0</v>
      </c>
      <c r="N14" s="38">
        <f t="shared" ca="1" si="8"/>
        <v>399343.74</v>
      </c>
      <c r="O14" s="38">
        <f t="shared" ca="1" si="1"/>
        <v>12.993147540503564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486400</v>
      </c>
      <c r="M16" s="38">
        <f t="shared" ca="1" si="10"/>
        <v>486400</v>
      </c>
      <c r="N16" s="38">
        <f t="shared" ca="1" si="10"/>
        <v>486400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3802960</v>
      </c>
      <c r="M18" s="23">
        <f t="shared" ca="1" si="11"/>
        <v>3144698.74</v>
      </c>
      <c r="N18" s="23">
        <f t="shared" ca="1" si="11"/>
        <v>2589611.5499999998</v>
      </c>
      <c r="O18" s="22">
        <f t="shared" ref="O18:O20" ca="1" si="12">IF(L18&gt;0,N18*100/L18,0)</f>
        <v>68.094630235395584</v>
      </c>
      <c r="P18" s="22">
        <f t="shared" ref="P18:P26" ca="1" si="13">IF(M18&gt;0,N18*100/M18,0)</f>
        <v>82.348477997609379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3802960</v>
      </c>
      <c r="M20" s="30">
        <f t="shared" ca="1" si="15"/>
        <v>3144698.74</v>
      </c>
      <c r="N20" s="30">
        <f t="shared" ca="1" si="15"/>
        <v>2589611.5499999998</v>
      </c>
      <c r="O20" s="29">
        <f t="shared" ca="1" si="12"/>
        <v>68.094630235395584</v>
      </c>
      <c r="P20" s="29">
        <f t="shared" ca="1" si="13"/>
        <v>82.348477997609379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3316560</v>
      </c>
      <c r="M22" s="41">
        <f t="shared" ca="1" si="18"/>
        <v>2658298.7400000002</v>
      </c>
      <c r="N22" s="38">
        <f t="shared" ca="1" si="18"/>
        <v>2103211.5499999998</v>
      </c>
      <c r="O22" s="38">
        <f t="shared" ca="1" si="17"/>
        <v>63.415453059796889</v>
      </c>
      <c r="P22" s="38">
        <f t="shared" ca="1" si="13"/>
        <v>79.118705446928047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1866100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486400</v>
      </c>
      <c r="M26" s="49">
        <f t="shared" ca="1" si="22"/>
        <v>486400</v>
      </c>
      <c r="N26" s="49">
        <f t="shared" ca="1" si="22"/>
        <v>486400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1623035</v>
      </c>
      <c r="M28" s="23">
        <f t="shared" si="23"/>
        <v>0</v>
      </c>
      <c r="N28" s="23">
        <f t="shared" ca="1" si="23"/>
        <v>399343.74</v>
      </c>
      <c r="O28" s="22">
        <f t="shared" ref="O28:O30" ca="1" si="24">IF(L28&gt;0,N28*100/L28,0)</f>
        <v>24.604752208054663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1623035</v>
      </c>
      <c r="M30" s="30">
        <f t="shared" si="27"/>
        <v>0</v>
      </c>
      <c r="N30" s="30">
        <f t="shared" ca="1" si="27"/>
        <v>399343.74</v>
      </c>
      <c r="O30" s="29">
        <f t="shared" ca="1" si="24"/>
        <v>24.604752208054663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1623035</v>
      </c>
      <c r="M32" s="38">
        <f t="shared" si="30"/>
        <v>0</v>
      </c>
      <c r="N32" s="38">
        <f t="shared" ca="1" si="30"/>
        <v>399343.74</v>
      </c>
      <c r="O32" s="38">
        <f t="shared" ca="1" si="29"/>
        <v>24.604752208054663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1623035</v>
      </c>
      <c r="M34" s="38">
        <f t="shared" si="32"/>
        <v>0</v>
      </c>
      <c r="N34" s="38">
        <f t="shared" ca="1" si="32"/>
        <v>399343.74</v>
      </c>
      <c r="O34" s="38">
        <f t="shared" ca="1" si="29"/>
        <v>24.604752208054663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3802960</v>
      </c>
      <c r="M37" s="54">
        <f t="shared" ca="1" si="33"/>
        <v>3144698.74</v>
      </c>
      <c r="N37" s="54">
        <f t="shared" ca="1" si="33"/>
        <v>2589611.5499999998</v>
      </c>
      <c r="O37" s="55">
        <f t="shared" ca="1" si="29"/>
        <v>68.094630235395584</v>
      </c>
      <c r="P37" s="55">
        <f t="shared" ca="1" si="25"/>
        <v>82.348477997609379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1071100</v>
      </c>
      <c r="M41" s="78">
        <f t="shared" ca="1" si="34"/>
        <v>895100</v>
      </c>
      <c r="N41" s="78">
        <f t="shared" ca="1" si="34"/>
        <v>872850.38</v>
      </c>
      <c r="O41" s="77">
        <f t="shared" ref="O41:O43" ca="1" si="35">IF(L41&gt;0,N41*100/L41,0)</f>
        <v>81.491026047988044</v>
      </c>
      <c r="P41" s="77">
        <f t="shared" ref="P41:P43" ca="1" si="36">IF(M41&gt;0,N41*100/M41,0)</f>
        <v>97.514286671880242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1071100</v>
      </c>
      <c r="M43" s="78">
        <f t="shared" ca="1" si="38"/>
        <v>895100</v>
      </c>
      <c r="N43" s="78">
        <f t="shared" ca="1" si="38"/>
        <v>872850.38</v>
      </c>
      <c r="O43" s="77">
        <f t="shared" ca="1" si="35"/>
        <v>81.491026047988044</v>
      </c>
      <c r="P43" s="77">
        <f t="shared" ca="1" si="36"/>
        <v>97.514286671880242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IFERROR(__xludf.DUMMYFUNCTION("IMPORTRANGE(""https://docs.google.com/spreadsheets/d/1Yj_ptqi66GCucihVvJfMjLAmec39IyEx_6qawtMGysU/edit?usp=sharing"",""สบก!Q62"")"),528100)</f>
        <v>528100</v>
      </c>
      <c r="N45" s="49">
        <f ca="1">IFERROR(__xludf.DUMMYFUNCTION("IMPORTRANGE(""https://docs.google.com/spreadsheets/d/1Yj_ptqi66GCucihVvJfMjLAmec39IyEx_6qawtMGysU/edit?usp=sharing"",""สบก!R62"")"),505850.38)</f>
        <v>505850.38</v>
      </c>
      <c r="O45" s="38">
        <f ca="1">IF(L45&gt;0,N45*100/L45,0)</f>
        <v>71.843542110495662</v>
      </c>
      <c r="P45" s="38">
        <f ca="1">IF(M45&gt;0,N45*100/M45,0)</f>
        <v>95.786854762355617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IFERROR(__xludf.DUMMYFUNCTION("IMPORTRANGE(""https://docs.google.com/spreadsheets/d/1Yj_ptqi66GCucihVvJfMjLAmec39IyEx_6qawtMGysU/edit?usp=sharing"",""สบก!O62"")"),367000)</f>
        <v>367000</v>
      </c>
      <c r="M49" s="49">
        <f ca="1">L49</f>
        <v>367000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560000</v>
      </c>
      <c r="M53" s="121">
        <f t="shared" ca="1" si="39"/>
        <v>434613.74</v>
      </c>
      <c r="N53" s="121">
        <f t="shared" ca="1" si="39"/>
        <v>388239.55</v>
      </c>
      <c r="O53" s="120">
        <f t="shared" ref="O53:O55" ca="1" si="40">IF(L53&gt;0,N53*100/L53,0)</f>
        <v>69.328491071428573</v>
      </c>
      <c r="P53" s="120">
        <f t="shared" ref="P53:P55" ca="1" si="41">IF(M53&gt;0,N53*100/M53,0)</f>
        <v>89.329792012558102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560000</v>
      </c>
      <c r="M55" s="121">
        <f t="shared" ca="1" si="43"/>
        <v>434613.74</v>
      </c>
      <c r="N55" s="121">
        <f t="shared" ca="1" si="43"/>
        <v>388239.55</v>
      </c>
      <c r="O55" s="120">
        <f t="shared" ca="1" si="40"/>
        <v>69.328491071428573</v>
      </c>
      <c r="P55" s="120">
        <f t="shared" ca="1" si="41"/>
        <v>89.329792012558102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560000</v>
      </c>
      <c r="M57" s="49">
        <f ca="1">IFERROR(__xludf.DUMMYFUNCTION("IMPORTRANGE(""https://docs.google.com/spreadsheets/d/1Yj_ptqi66GCucihVvJfMjLAmec39IyEx_6qawtMGysU/edit?usp=sharing"",""สบก!Z62"")"),434613.74)</f>
        <v>434613.74</v>
      </c>
      <c r="N57" s="49">
        <f ca="1">IFERROR(__xludf.DUMMYFUNCTION("IMPORTRANGE(""https://docs.google.com/spreadsheets/d/1Yj_ptqi66GCucihVvJfMjLAmec39IyEx_6qawtMGysU/edit?usp=sharing"",""สบก!AA62"")"),388239.55)</f>
        <v>388239.55</v>
      </c>
      <c r="O57" s="38">
        <f ca="1">IF(L57&gt;0,N57*100/L57,0)</f>
        <v>69.328491071428573</v>
      </c>
      <c r="P57" s="38">
        <f ca="1">IF(M57&gt;0,N57*100/M57,0)</f>
        <v>89.329792012558102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IFERROR(__xludf.DUMMYFUNCTION("IMPORTRANGE(""https://docs.google.com/spreadsheets/d/1Yj_ptqi66GCucihVvJfMjLAmec39IyEx_6qawtMGysU/edit?usp=sharing"",""สบก!V62"")"),560000)</f>
        <v>560000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IFERROR(__xludf.DUMMYFUNCTION("IMPORTRANGE(""https://docs.google.com/spreadsheets/d/1Yj_ptqi66GCucihVvJfMjLAmec39IyEx_6qawtMGysU/edit?usp=sharing"",""สบก!AI62"")"),0)</f>
        <v>0</v>
      </c>
      <c r="N70" s="169">
        <f ca="1">IFERROR(__xludf.DUMMYFUNCTION("IMPORTRANGE(""https://docs.google.com/spreadsheets/d/1Yj_ptqi66GCucihVvJfMjLAmec39IyEx_6qawtMGysU/edit?usp=sharing"",""สบก!AJ62"")"),0)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IFERROR(__xludf.DUMMYFUNCTION("IMPORTRANGE(""https://docs.google.com/spreadsheets/d/1SX6NBoVAgQJ6U1MVXOaj8PK2l7WJ3RER9xtqwdhxkhw/edit?usp=sharing"",""ชลบุรี!J16"")"),0)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IFERROR(__xludf.DUMMYFUNCTION("IMPORTRANGE(""https://docs.google.com/spreadsheets/d/1SX6NBoVAgQJ6U1MVXOaj8PK2l7WJ3RER9xtqwdhxkhw/edit?usp=sharing"",""ชลบุรี!J17"")"),0)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IFERROR(__xludf.DUMMYFUNCTION("IMPORTRANGE(""https://docs.google.com/spreadsheets/d/1SX6NBoVAgQJ6U1MVXOaj8PK2l7WJ3RER9xtqwdhxkhw/edit?usp=sharing"",""ชลบุรี!J18"")"),0)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IFERROR(__xludf.DUMMYFUNCTION("IMPORTRANGE(""https://docs.google.com/spreadsheets/d/1SX6NBoVAgQJ6U1MVXOaj8PK2l7WJ3RER9xtqwdhxkhw/edit?usp=sharing"",""ชลบุรี!J19"")"),0)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IFERROR(__xludf.DUMMYFUNCTION("IMPORTRANGE(""https://docs.google.com/spreadsheets/d/1SX6NBoVAgQJ6U1MVXOaj8PK2l7WJ3RER9xtqwdhxkhw/edit?usp=sharing"",""ชลบุรี!I20"")"),0)</f>
        <v>0</v>
      </c>
      <c r="J80" s="201">
        <f ca="1">IFERROR(__xludf.DUMMYFUNCTION("IMPORTRANGE(""https://docs.google.com/spreadsheets/d/1SX6NBoVAgQJ6U1MVXOaj8PK2l7WJ3RER9xtqwdhxkhw/edit?usp=sharing"",""ชลบุรี!J20"")"),0)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IFERROR(__xludf.DUMMYFUNCTION("IMPORTRANGE(""https://docs.google.com/spreadsheets/d/1SX6NBoVAgQJ6U1MVXOaj8PK2l7WJ3RER9xtqwdhxkhw/edit?usp=sharing"",""ชลบุรี!I21"")"),0)</f>
        <v>0</v>
      </c>
      <c r="J81" s="201">
        <f ca="1">IFERROR(__xludf.DUMMYFUNCTION("IMPORTRANGE(""https://docs.google.com/spreadsheets/d/1SX6NBoVAgQJ6U1MVXOaj8PK2l7WJ3RER9xtqwdhxkhw/edit?usp=sharing"",""ชลบุรี!J21"")"),0)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IFERROR(__xludf.DUMMYFUNCTION("IMPORTRANGE(""https://docs.google.com/spreadsheets/d/1SX6NBoVAgQJ6U1MVXOaj8PK2l7WJ3RER9xtqwdhxkhw/edit?usp=sharing"",""ชลบุรี!I22"")"),0)</f>
        <v>0</v>
      </c>
      <c r="J82" s="204">
        <f ca="1">IFERROR(__xludf.DUMMYFUNCTION("IMPORTRANGE(""https://docs.google.com/spreadsheets/d/1SX6NBoVAgQJ6U1MVXOaj8PK2l7WJ3RER9xtqwdhxkhw/edit?usp=sharing"",""ชลบุรี!J22"")"),0)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IFERROR(__xludf.DUMMYFUNCTION("IMPORTRANGE(""https://docs.google.com/spreadsheets/d/1SX6NBoVAgQJ6U1MVXOaj8PK2l7WJ3RER9xtqwdhxkhw/edit?usp=sharing"",""ชลบุรี!I23"")"),0)</f>
        <v>0</v>
      </c>
      <c r="J83" s="204">
        <f ca="1">IFERROR(__xludf.DUMMYFUNCTION("IMPORTRANGE(""https://docs.google.com/spreadsheets/d/1SX6NBoVAgQJ6U1MVXOaj8PK2l7WJ3RER9xtqwdhxkhw/edit?usp=sharing"",""ชลบุรี!J23"")"),0)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IFERROR(__xludf.DUMMYFUNCTION("IMPORTRANGE(""https://docs.google.com/spreadsheets/d/1SX6NBoVAgQJ6U1MVXOaj8PK2l7WJ3RER9xtqwdhxkhw/edit?usp=sharing"",""ชลบุรี!I24"")"),0)</f>
        <v>0</v>
      </c>
      <c r="J84" s="189">
        <f ca="1">IFERROR(__xludf.DUMMYFUNCTION("IMPORTRANGE(""https://docs.google.com/spreadsheets/d/1SX6NBoVAgQJ6U1MVXOaj8PK2l7WJ3RER9xtqwdhxkhw/edit?usp=sharing"",""ชลบุรี!J24"")"),0)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IFERROR(__xludf.DUMMYFUNCTION("IMPORTRANGE(""https://docs.google.com/spreadsheets/d/1SX6NBoVAgQJ6U1MVXOaj8PK2l7WJ3RER9xtqwdhxkhw/edit?usp=sharing"",""ชลบุรี!I25"")"),0)</f>
        <v>0</v>
      </c>
      <c r="J85" s="189">
        <f ca="1">IFERROR(__xludf.DUMMYFUNCTION("IMPORTRANGE(""https://docs.google.com/spreadsheets/d/1SX6NBoVAgQJ6U1MVXOaj8PK2l7WJ3RER9xtqwdhxkhw/edit?usp=sharing"",""ชลบุรี!J25"")"),0)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IFERROR(__xludf.DUMMYFUNCTION("IMPORTRANGE(""https://docs.google.com/spreadsheets/d/1SX6NBoVAgQJ6U1MVXOaj8PK2l7WJ3RER9xtqwdhxkhw/edit?usp=sharing"",""ชลบุรี!I26"")"),0)</f>
        <v>0</v>
      </c>
      <c r="J86" s="204">
        <f ca="1">IFERROR(__xludf.DUMMYFUNCTION("IMPORTRANGE(""https://docs.google.com/spreadsheets/d/1SX6NBoVAgQJ6U1MVXOaj8PK2l7WJ3RER9xtqwdhxkhw/edit?usp=sharing"",""ชลบุรี!J26"")"),0)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IFERROR(__xludf.DUMMYFUNCTION("IMPORTRANGE(""https://docs.google.com/spreadsheets/d/1SX6NBoVAgQJ6U1MVXOaj8PK2l7WJ3RER9xtqwdhxkhw/edit?usp=sharing"",""ชลบุรี!I27"")"),0)</f>
        <v>0</v>
      </c>
      <c r="J87" s="204">
        <f ca="1">IFERROR(__xludf.DUMMYFUNCTION("IMPORTRANGE(""https://docs.google.com/spreadsheets/d/1SX6NBoVAgQJ6U1MVXOaj8PK2l7WJ3RER9xtqwdhxkhw/edit?usp=sharing"",""ชลบุรี!J27"")"),0)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IFERROR(__xludf.DUMMYFUNCTION("IMPORTRANGE(""https://docs.google.com/spreadsheets/d/1SX6NBoVAgQJ6U1MVXOaj8PK2l7WJ3RER9xtqwdhxkhw/edit?usp=sharing"",""ชลบุรี!I28"")"),0)</f>
        <v>0</v>
      </c>
      <c r="J88" s="204">
        <f ca="1">IFERROR(__xludf.DUMMYFUNCTION("IMPORTRANGE(""https://docs.google.com/spreadsheets/d/1SX6NBoVAgQJ6U1MVXOaj8PK2l7WJ3RER9xtqwdhxkhw/edit?usp=sharing"",""ชลบุรี!J28"")"),0)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IFERROR(__xludf.DUMMYFUNCTION("IMPORTRANGE(""https://docs.google.com/spreadsheets/d/1SX6NBoVAgQJ6U1MVXOaj8PK2l7WJ3RER9xtqwdhxkhw/edit?usp=sharing"",""ชลบุรี!J29"")"),0)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IFERROR(__xludf.DUMMYFUNCTION("IMPORTRANGE(""https://docs.google.com/spreadsheets/d/1SX6NBoVAgQJ6U1MVXOaj8PK2l7WJ3RER9xtqwdhxkhw/edit?usp=sharing"",""ชลบุรี!J30"")"),0)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150379</v>
      </c>
      <c r="O94" s="151">
        <f t="shared" ref="O94:O96" ca="1" si="53">IF(L94&gt;0,N94*100/L94,0)</f>
        <v>70.106759906759905</v>
      </c>
      <c r="P94" s="151">
        <f t="shared" ref="P94:P96" ca="1" si="54">IF(M94&gt;0,N94*100/M94,0)</f>
        <v>77.333573320305476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150379</v>
      </c>
      <c r="O96" s="156">
        <f t="shared" ca="1" si="53"/>
        <v>70.106759906759905</v>
      </c>
      <c r="P96" s="156">
        <f t="shared" ca="1" si="54"/>
        <v>77.333573320305476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IFERROR(__xludf.DUMMYFUNCTION("IMPORTRANGE(""https://docs.google.com/spreadsheets/d/1Yj_ptqi66GCucihVvJfMjLAmec39IyEx_6qawtMGysU/edit?usp=sharing"",""สบก!AR62"")"),102055)</f>
        <v>102055</v>
      </c>
      <c r="N98" s="169">
        <f ca="1">IFERROR(__xludf.DUMMYFUNCTION("IMPORTRANGE(""https://docs.google.com/spreadsheets/d/1Yj_ptqi66GCucihVvJfMjLAmec39IyEx_6qawtMGysU/edit?usp=sharing"",""สบก!AS62"")"),57979)</f>
        <v>57979</v>
      </c>
      <c r="O98" s="169">
        <f ca="1">IF(L98&gt;0,N98*100/L98,0)</f>
        <v>47.484848484848484</v>
      </c>
      <c r="P98" s="169">
        <f ca="1">IF(M98&gt;0,N98*100/M98,0)</f>
        <v>56.811523198275438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IFERROR(__xludf.DUMMYFUNCTION("IMPORTRANGE(""https://docs.google.com/spreadsheets/d/1Yj_ptqi66GCucihVvJfMjLAmec39IyEx_6qawtMGysU/edit?usp=sharing"",""สบก!AO62"")"),122100)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IFERROR(__xludf.DUMMYFUNCTION("IMPORTRANGE(""https://docs.google.com/spreadsheets/d/1SX6NBoVAgQJ6U1MVXOaj8PK2l7WJ3RER9xtqwdhxkhw/edit?usp=sharing"",""ชลบุรี!J39"")"),0)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IFERROR(__xludf.DUMMYFUNCTION("IMPORTRANGE(""https://docs.google.com/spreadsheets/d/1SX6NBoVAgQJ6U1MVXOaj8PK2l7WJ3RER9xtqwdhxkhw/edit?usp=sharing"",""ชลบุรี!J40"")"),1)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IFERROR(__xludf.DUMMYFUNCTION("IMPORTRANGE(""https://docs.google.com/spreadsheets/d/1SX6NBoVAgQJ6U1MVXOaj8PK2l7WJ3RER9xtqwdhxkhw/edit?usp=sharing"",""ชลบุรี!J41"")"),1)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IFERROR(__xludf.DUMMYFUNCTION("IMPORTRANGE(""https://docs.google.com/spreadsheets/d/1SX6NBoVAgQJ6U1MVXOaj8PK2l7WJ3RER9xtqwdhxkhw/edit?usp=sharing"",""ชลบุรี!J42"")"),1)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IFERROR(__xludf.DUMMYFUNCTION("IMPORTRANGE(""https://docs.google.com/spreadsheets/d/1SX6NBoVAgQJ6U1MVXOaj8PK2l7WJ3RER9xtqwdhxkhw/edit?usp=sharing"",""ชลบุรี!I43"")"),1)</f>
        <v>1</v>
      </c>
      <c r="J108" s="204">
        <f ca="1">IFERROR(__xludf.DUMMYFUNCTION("IMPORTRANGE(""https://docs.google.com/spreadsheets/d/1SX6NBoVAgQJ6U1MVXOaj8PK2l7WJ3RER9xtqwdhxkhw/edit?usp=sharing"",""ชลบุรี!J43"")"),0)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IFERROR(__xludf.DUMMYFUNCTION("IMPORTRANGE(""https://docs.google.com/spreadsheets/d/1SX6NBoVAgQJ6U1MVXOaj8PK2l7WJ3RER9xtqwdhxkhw/edit?usp=sharing"",""ชลบุรี!I44"")"),4)</f>
        <v>4</v>
      </c>
      <c r="J109" s="204">
        <f ca="1">IFERROR(__xludf.DUMMYFUNCTION("IMPORTRANGE(""https://docs.google.com/spreadsheets/d/1SX6NBoVAgQJ6U1MVXOaj8PK2l7WJ3RER9xtqwdhxkhw/edit?usp=sharing"",""ชลบุรี!J44"")"),4)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IFERROR(__xludf.DUMMYFUNCTION("IMPORTRANGE(""https://docs.google.com/spreadsheets/d/1SX6NBoVAgQJ6U1MVXOaj8PK2l7WJ3RER9xtqwdhxkhw/edit?usp=sharing"",""ชลบุรี!I45"")"),4)</f>
        <v>4</v>
      </c>
      <c r="J110" s="204">
        <f ca="1">IFERROR(__xludf.DUMMYFUNCTION("IMPORTRANGE(""https://docs.google.com/spreadsheets/d/1SX6NBoVAgQJ6U1MVXOaj8PK2l7WJ3RER9xtqwdhxkhw/edit?usp=sharing"",""ชลบุรี!J45"")"),4)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IFERROR(__xludf.DUMMYFUNCTION("IMPORTRANGE(""https://docs.google.com/spreadsheets/d/1SX6NBoVAgQJ6U1MVXOaj8PK2l7WJ3RER9xtqwdhxkhw/edit?usp=sharing"",""ชลบุรี!I46"")"),4)</f>
        <v>4</v>
      </c>
      <c r="J111" s="204">
        <f ca="1">IFERROR(__xludf.DUMMYFUNCTION("IMPORTRANGE(""https://docs.google.com/spreadsheets/d/1SX6NBoVAgQJ6U1MVXOaj8PK2l7WJ3RER9xtqwdhxkhw/edit?usp=sharing"",""ชลบุรี!J46"")"),4)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IFERROR(__xludf.DUMMYFUNCTION("IMPORTRANGE(""https://docs.google.com/spreadsheets/d/1SX6NBoVAgQJ6U1MVXOaj8PK2l7WJ3RER9xtqwdhxkhw/edit?usp=sharing"",""ชลบุรี!I47"")"),4)</f>
        <v>4</v>
      </c>
      <c r="J112" s="204">
        <f ca="1">IFERROR(__xludf.DUMMYFUNCTION("IMPORTRANGE(""https://docs.google.com/spreadsheets/d/1SX6NBoVAgQJ6U1MVXOaj8PK2l7WJ3RER9xtqwdhxkhw/edit?usp=sharing"",""ชลบุรี!J47"")"),4)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IFERROR(__xludf.DUMMYFUNCTION("IMPORTRANGE(""https://docs.google.com/spreadsheets/d/1SX6NBoVAgQJ6U1MVXOaj8PK2l7WJ3RER9xtqwdhxkhw/edit?usp=sharing"",""ชลบุรี!I48"")"),1)</f>
        <v>1</v>
      </c>
      <c r="J113" s="204">
        <f ca="1">IFERROR(__xludf.DUMMYFUNCTION("IMPORTRANGE(""https://docs.google.com/spreadsheets/d/1SX6NBoVAgQJ6U1MVXOaj8PK2l7WJ3RER9xtqwdhxkhw/edit?usp=sharing"",""ชลบุรี!J48"")"),1)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IFERROR(__xludf.DUMMYFUNCTION("IMPORTRANGE(""https://docs.google.com/spreadsheets/d/1SX6NBoVAgQJ6U1MVXOaj8PK2l7WJ3RER9xtqwdhxkhw/edit?usp=sharing"",""ชลบุรี!J49"")"),0)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IFERROR(__xludf.DUMMYFUNCTION("IMPORTRANGE(""https://docs.google.com/spreadsheets/d/1SX6NBoVAgQJ6U1MVXOaj8PK2l7WJ3RER9xtqwdhxkhw/edit?usp=sharing"",""ชลบุรี!J50"")"),0)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29134</v>
      </c>
      <c r="O118" s="151">
        <f t="shared" ref="O118:O120" ca="1" si="59">IF(L118&gt;0,N118*100/L118,0)</f>
        <v>35.339640950994664</v>
      </c>
      <c r="P118" s="151">
        <f t="shared" ref="P118:P120" ca="1" si="60">IF(M118&gt;0,N118*100/M118,0)</f>
        <v>35.339640950994664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29134</v>
      </c>
      <c r="O120" s="156">
        <f t="shared" ca="1" si="59"/>
        <v>35.339640950994664</v>
      </c>
      <c r="P120" s="156">
        <f t="shared" ca="1" si="60"/>
        <v>35.339640950994664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IFERROR(__xludf.DUMMYFUNCTION("IMPORTRANGE(""https://docs.google.com/spreadsheets/d/1Yj_ptqi66GCucihVvJfMjLAmec39IyEx_6qawtMGysU/edit?usp=sharing"",""สบก!BA62"")"),82440)</f>
        <v>82440</v>
      </c>
      <c r="N122" s="169">
        <f ca="1">IFERROR(__xludf.DUMMYFUNCTION("IMPORTRANGE(""https://docs.google.com/spreadsheets/d/1Yj_ptqi66GCucihVvJfMjLAmec39IyEx_6qawtMGysU/edit?usp=sharing"",""สบก!BB62"")"),29134)</f>
        <v>29134</v>
      </c>
      <c r="O122" s="169">
        <f ca="1">IF(L122&gt;0,N122*100/L122,0)</f>
        <v>35.339640950994664</v>
      </c>
      <c r="P122" s="169">
        <f ca="1">IF(M122&gt;0,N122*100/M122,0)</f>
        <v>35.339640950994664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IFERROR(__xludf.DUMMYFUNCTION("IMPORTRANGE(""https://docs.google.com/spreadsheets/d/1Yj_ptqi66GCucihVvJfMjLAmec39IyEx_6qawtMGysU/edit?usp=sharing"",""สบก!AX62"")"),82440)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IFERROR(__xludf.DUMMYFUNCTION("IMPORTRANGE(""https://docs.google.com/spreadsheets/d/1SX6NBoVAgQJ6U1MVXOaj8PK2l7WJ3RER9xtqwdhxkhw/edit?usp=sharing"",""ชลบุรี!J58"")"),0)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IFERROR(__xludf.DUMMYFUNCTION("IMPORTRANGE(""https://docs.google.com/spreadsheets/d/1SX6NBoVAgQJ6U1MVXOaj8PK2l7WJ3RER9xtqwdhxkhw/edit?usp=sharing"",""ชลบุรี!J59"")"),1)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IFERROR(__xludf.DUMMYFUNCTION("IMPORTRANGE(""https://docs.google.com/spreadsheets/d/1SX6NBoVAgQJ6U1MVXOaj8PK2l7WJ3RER9xtqwdhxkhw/edit?usp=sharing"",""ชลบุรี!J60"")"),1)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IFERROR(__xludf.DUMMYFUNCTION("IMPORTRANGE(""https://docs.google.com/spreadsheets/d/1SX6NBoVAgQJ6U1MVXOaj8PK2l7WJ3RER9xtqwdhxkhw/edit?usp=sharing"",""ชลบุรี!J61"")"),1)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IFERROR(__xludf.DUMMYFUNCTION("IMPORTRANGE(""https://docs.google.com/spreadsheets/d/1SX6NBoVAgQJ6U1MVXOaj8PK2l7WJ3RER9xtqwdhxkhw/edit?usp=sharing"",""ชลบุรี!I62"")"),20)</f>
        <v>20</v>
      </c>
      <c r="J132" s="204">
        <f ca="1">IFERROR(__xludf.DUMMYFUNCTION("IMPORTRANGE(""https://docs.google.com/spreadsheets/d/1SX6NBoVAgQJ6U1MVXOaj8PK2l7WJ3RER9xtqwdhxkhw/edit?usp=sharing"",""ชลบุรี!J62"")"),20)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IFERROR(__xludf.DUMMYFUNCTION("IMPORTRANGE(""https://docs.google.com/spreadsheets/d/1SX6NBoVAgQJ6U1MVXOaj8PK2l7WJ3RER9xtqwdhxkhw/edit?usp=sharing"",""ชลบุรี!I63"")"),20)</f>
        <v>20</v>
      </c>
      <c r="J133" s="204">
        <f ca="1">IFERROR(__xludf.DUMMYFUNCTION("IMPORTRANGE(""https://docs.google.com/spreadsheets/d/1SX6NBoVAgQJ6U1MVXOaj8PK2l7WJ3RER9xtqwdhxkhw/edit?usp=sharing"",""ชลบุรี!J63"")"),20)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IFERROR(__xludf.DUMMYFUNCTION("IMPORTRANGE(""https://docs.google.com/spreadsheets/d/1SX6NBoVAgQJ6U1MVXOaj8PK2l7WJ3RER9xtqwdhxkhw/edit?usp=sharing"",""ชลบุรี!J64"")"),0)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IFERROR(__xludf.DUMMYFUNCTION("IMPORTRANGE(""https://docs.google.com/spreadsheets/d/1SX6NBoVAgQJ6U1MVXOaj8PK2l7WJ3RER9xtqwdhxkhw/edit?usp=sharing"",""ชลบุรี!J65"")"),0)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IFERROR(__xludf.DUMMYFUNCTION("IMPORTRANGE(""https://docs.google.com/spreadsheets/d/1SX6NBoVAgQJ6U1MVXOaj8PK2l7WJ3RER9xtqwdhxkhw/edit?usp=sharing"",""ชลบุรี!I68"")"),55)</f>
        <v>55</v>
      </c>
      <c r="J138" s="268">
        <f ca="1">IFERROR(__xludf.DUMMYFUNCTION("IMPORTRANGE(""https://docs.google.com/spreadsheets/d/1SX6NBoVAgQJ6U1MVXOaj8PK2l7WJ3RER9xtqwdhxkhw/edit?usp=sharing"",""ชลบุรี!J68"")"),55)</f>
        <v>55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323600</v>
      </c>
      <c r="M140" s="152">
        <f t="shared" ca="1" si="64"/>
        <v>273890</v>
      </c>
      <c r="N140" s="152">
        <f t="shared" ca="1" si="64"/>
        <v>163781.48000000001</v>
      </c>
      <c r="O140" s="151">
        <f t="shared" ref="O140:O142" ca="1" si="65">IF(L140&gt;0,N140*100/L140,0)</f>
        <v>50.612323856613109</v>
      </c>
      <c r="P140" s="151">
        <f t="shared" ref="P140:P142" ca="1" si="66">IF(M140&gt;0,N140*100/M140,0)</f>
        <v>59.79826937821754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323600</v>
      </c>
      <c r="M142" s="157">
        <f t="shared" ca="1" si="68"/>
        <v>273890</v>
      </c>
      <c r="N142" s="157">
        <f t="shared" ca="1" si="68"/>
        <v>163781.48000000001</v>
      </c>
      <c r="O142" s="156">
        <f t="shared" ca="1" si="65"/>
        <v>50.612323856613109</v>
      </c>
      <c r="P142" s="156">
        <f t="shared" ca="1" si="66"/>
        <v>59.79826937821754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323600</v>
      </c>
      <c r="M144" s="168">
        <f ca="1">IFERROR(__xludf.DUMMYFUNCTION("IMPORTRANGE(""https://docs.google.com/spreadsheets/d/1Yj_ptqi66GCucihVvJfMjLAmec39IyEx_6qawtMGysU/edit?usp=sharing"",""สบก!BJ62"")"),273890)</f>
        <v>273890</v>
      </c>
      <c r="N144" s="169">
        <f ca="1">IFERROR(__xludf.DUMMYFUNCTION("IMPORTRANGE(""https://docs.google.com/spreadsheets/d/1Yj_ptqi66GCucihVvJfMjLAmec39IyEx_6qawtMGysU/edit?usp=sharing"",""สบก!BK62"")"),163781.48)</f>
        <v>163781.48000000001</v>
      </c>
      <c r="O144" s="169">
        <f ca="1">IF(L144&gt;0,N144*100/L144,0)</f>
        <v>50.612323856613109</v>
      </c>
      <c r="P144" s="169">
        <f ca="1">IF(M144&gt;0,N144*100/M144,0)</f>
        <v>59.79826937821754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IFERROR(__xludf.DUMMYFUNCTION("IMPORTRANGE(""https://docs.google.com/spreadsheets/d/1Yj_ptqi66GCucihVvJfMjLAmec39IyEx_6qawtMGysU/edit?usp=sharing"",""สบก!BF62"")"),132000)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IFERROR(__xludf.DUMMYFUNCTION("IMPORTRANGE(""https://docs.google.com/spreadsheets/d/1Yj_ptqi66GCucihVvJfMjLAmec39IyEx_6qawtMGysU/edit?usp=sharing"",""สบก!BG62"")"),191600)</f>
        <v>191600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IFERROR(__xludf.DUMMYFUNCTION("IMPORTRANGE(""https://docs.google.com/spreadsheets/d/1SX6NBoVAgQJ6U1MVXOaj8PK2l7WJ3RER9xtqwdhxkhw/edit?usp=sharing"",""ชลบุรี!I74"")"),4)</f>
        <v>4</v>
      </c>
      <c r="J149" s="276">
        <f ca="1">IFERROR(__xludf.DUMMYFUNCTION("IMPORTRANGE(""https://docs.google.com/spreadsheets/d/1SX6NBoVAgQJ6U1MVXOaj8PK2l7WJ3RER9xtqwdhxkhw/edit?usp=sharing"",""ชลบุรี!J74"")"),3)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IFERROR(__xludf.DUMMYFUNCTION("IMPORTRANGE(""https://docs.google.com/spreadsheets/d/1SX6NBoVAgQJ6U1MVXOaj8PK2l7WJ3RER9xtqwdhxkhw/edit?usp=sharing"",""ชลบุรี!J79"")"),0)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IFERROR(__xludf.DUMMYFUNCTION("IMPORTRANGE(""https://docs.google.com/spreadsheets/d/1SX6NBoVAgQJ6U1MVXOaj8PK2l7WJ3RER9xtqwdhxkhw/edit?usp=sharing"",""ชลบุรี!J80"")"),1)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IFERROR(__xludf.DUMMYFUNCTION("IMPORTRANGE(""https://docs.google.com/spreadsheets/d/1SX6NBoVAgQJ6U1MVXOaj8PK2l7WJ3RER9xtqwdhxkhw/edit?usp=sharing"",""ชลบุรี!J81"")"),1)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IFERROR(__xludf.DUMMYFUNCTION("IMPORTRANGE(""https://docs.google.com/spreadsheets/d/1SX6NBoVAgQJ6U1MVXOaj8PK2l7WJ3RER9xtqwdhxkhw/edit?usp=sharing"",""ชลบุรี!J82"")"),1)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IFERROR(__xludf.DUMMYFUNCTION("IMPORTRANGE(""https://docs.google.com/spreadsheets/d/1SX6NBoVAgQJ6U1MVXOaj8PK2l7WJ3RER9xtqwdhxkhw/edit?usp=sharing"",""ชลบุรี!I83"")"),4)</f>
        <v>4</v>
      </c>
      <c r="J158" s="189">
        <f ca="1">IFERROR(__xludf.DUMMYFUNCTION("IMPORTRANGE(""https://docs.google.com/spreadsheets/d/1SX6NBoVAgQJ6U1MVXOaj8PK2l7WJ3RER9xtqwdhxkhw/edit?usp=sharing"",""ชลบุรี!J83"")"),3)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IFERROR(__xludf.DUMMYFUNCTION("IMPORTRANGE(""https://docs.google.com/spreadsheets/d/1SX6NBoVAgQJ6U1MVXOaj8PK2l7WJ3RER9xtqwdhxkhw/edit?usp=sharing"",""ชลบุรี!J84"")"),0)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IFERROR(__xludf.DUMMYFUNCTION("IMPORTRANGE(""https://docs.google.com/spreadsheets/d/1SX6NBoVAgQJ6U1MVXOaj8PK2l7WJ3RER9xtqwdhxkhw/edit?usp=sharing"",""ชลบุรี!J85"")"),0)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IFERROR(__xludf.DUMMYFUNCTION("IMPORTRANGE(""https://docs.google.com/spreadsheets/d/1SX6NBoVAgQJ6U1MVXOaj8PK2l7WJ3RER9xtqwdhxkhw/edit?usp=sharing"",""ชลบุรี!J86"")"),0)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IFERROR(__xludf.DUMMYFUNCTION("IMPORTRANGE(""https://docs.google.com/spreadsheets/d/1SX6NBoVAgQJ6U1MVXOaj8PK2l7WJ3RER9xtqwdhxkhw/edit?usp=sharing"",""ชลบุรี!J87"")"),0)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IFERROR(__xludf.DUMMYFUNCTION("IMPORTRANGE(""https://docs.google.com/spreadsheets/d/1SX6NBoVAgQJ6U1MVXOaj8PK2l7WJ3RER9xtqwdhxkhw/edit?usp=sharing"",""ชลบุรี!J88"")"),0)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IFERROR(__xludf.DUMMYFUNCTION("IMPORTRANGE(""https://docs.google.com/spreadsheets/d/1SX6NBoVAgQJ6U1MVXOaj8PK2l7WJ3RER9xtqwdhxkhw/edit?usp=sharing"",""ชลบุรี!I89"")"),4)</f>
        <v>4</v>
      </c>
      <c r="J164" s="285">
        <f ca="1">IFERROR(__xludf.DUMMYFUNCTION("IMPORTRANGE(""https://docs.google.com/spreadsheets/d/1SX6NBoVAgQJ6U1MVXOaj8PK2l7WJ3RER9xtqwdhxkhw/edit?usp=sharing"",""ชลบุรี!J89"")"),1)</f>
        <v>1</v>
      </c>
      <c r="K164" s="286">
        <f ca="1">IF(I164&gt;0,J164*100/I164,0)</f>
        <v>25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IFERROR(__xludf.DUMMYFUNCTION("IMPORTRANGE(""https://docs.google.com/spreadsheets/d/1SX6NBoVAgQJ6U1MVXOaj8PK2l7WJ3RER9xtqwdhxkhw/edit?usp=sharing"",""ชลบุรี!J94"")"),0)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IFERROR(__xludf.DUMMYFUNCTION("IMPORTRANGE(""https://docs.google.com/spreadsheets/d/1SX6NBoVAgQJ6U1MVXOaj8PK2l7WJ3RER9xtqwdhxkhw/edit?usp=sharing"",""ชลบุรี!J95"")"),1)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IFERROR(__xludf.DUMMYFUNCTION("IMPORTRANGE(""https://docs.google.com/spreadsheets/d/1SX6NBoVAgQJ6U1MVXOaj8PK2l7WJ3RER9xtqwdhxkhw/edit?usp=sharing"",""ชลบุรี!J96"")"),1)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IFERROR(__xludf.DUMMYFUNCTION("IMPORTRANGE(""https://docs.google.com/spreadsheets/d/1SX6NBoVAgQJ6U1MVXOaj8PK2l7WJ3RER9xtqwdhxkhw/edit?usp=sharing"",""ชลบุรี!J97"")"),1)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IFERROR(__xludf.DUMMYFUNCTION("IMPORTRANGE(""https://docs.google.com/spreadsheets/d/1SX6NBoVAgQJ6U1MVXOaj8PK2l7WJ3RER9xtqwdhxkhw/edit?usp=sharing"",""ชลบุรี!I98"")"),4)</f>
        <v>4</v>
      </c>
      <c r="J173" s="189">
        <f ca="1">IFERROR(__xludf.DUMMYFUNCTION("IMPORTRANGE(""https://docs.google.com/spreadsheets/d/1SX6NBoVAgQJ6U1MVXOaj8PK2l7WJ3RER9xtqwdhxkhw/edit?usp=sharing"",""ชลบุรี!J98"")"),1)</f>
        <v>1</v>
      </c>
      <c r="K173" s="163">
        <f ca="1">IF(I173&gt;0,J173*100/I173,0)</f>
        <v>25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IFERROR(__xludf.DUMMYFUNCTION("IMPORTRANGE(""https://docs.google.com/spreadsheets/d/1SX6NBoVAgQJ6U1MVXOaj8PK2l7WJ3RER9xtqwdhxkhw/edit?usp=sharing"",""ชลบุรี!J99"")"),0)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IFERROR(__xludf.DUMMYFUNCTION("IMPORTRANGE(""https://docs.google.com/spreadsheets/d/1SX6NBoVAgQJ6U1MVXOaj8PK2l7WJ3RER9xtqwdhxkhw/edit?usp=sharing"",""ชลบุรี!J100"")"),0)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IFERROR(__xludf.DUMMYFUNCTION("IMPORTRANGE(""https://docs.google.com/spreadsheets/d/1SX6NBoVAgQJ6U1MVXOaj8PK2l7WJ3RER9xtqwdhxkhw/edit?usp=sharing"",""ชลบุรี!I101"")"),0)</f>
        <v>0</v>
      </c>
      <c r="J176" s="285">
        <f ca="1">IFERROR(__xludf.DUMMYFUNCTION("IMPORTRANGE(""https://docs.google.com/spreadsheets/d/1SX6NBoVAgQJ6U1MVXOaj8PK2l7WJ3RER9xtqwdhxkhw/edit?usp=sharing"",""ชลบุรี!J101"")"),0)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IFERROR(__xludf.DUMMYFUNCTION("IMPORTRANGE(""https://docs.google.com/spreadsheets/d/1SX6NBoVAgQJ6U1MVXOaj8PK2l7WJ3RER9xtqwdhxkhw/edit?usp=sharing"",""ชลบุรี!J106"")"),0)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IFERROR(__xludf.DUMMYFUNCTION("IMPORTRANGE(""https://docs.google.com/spreadsheets/d/1SX6NBoVAgQJ6U1MVXOaj8PK2l7WJ3RER9xtqwdhxkhw/edit?usp=sharing"",""ชลบุรี!J107"")"),0)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IFERROR(__xludf.DUMMYFUNCTION("IMPORTRANGE(""https://docs.google.com/spreadsheets/d/1SX6NBoVAgQJ6U1MVXOaj8PK2l7WJ3RER9xtqwdhxkhw/edit?usp=sharing"",""ชลบุรี!J108"")"),0)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IFERROR(__xludf.DUMMYFUNCTION("IMPORTRANGE(""https://docs.google.com/spreadsheets/d/1SX6NBoVAgQJ6U1MVXOaj8PK2l7WJ3RER9xtqwdhxkhw/edit?usp=sharing"",""ชลบุรี!J109"")"),0)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IFERROR(__xludf.DUMMYFUNCTION("IMPORTRANGE(""https://docs.google.com/spreadsheets/d/1SX6NBoVAgQJ6U1MVXOaj8PK2l7WJ3RER9xtqwdhxkhw/edit?usp=sharing"",""ชลบุรี!I110"")"),0)</f>
        <v>0</v>
      </c>
      <c r="J185" s="204">
        <f ca="1">IFERROR(__xludf.DUMMYFUNCTION("IMPORTRANGE(""https://docs.google.com/spreadsheets/d/1SX6NBoVAgQJ6U1MVXOaj8PK2l7WJ3RER9xtqwdhxkhw/edit?usp=sharing"",""ชลบุรี!J110"")"),0)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IFERROR(__xludf.DUMMYFUNCTION("IMPORTRANGE(""https://docs.google.com/spreadsheets/d/1SX6NBoVAgQJ6U1MVXOaj8PK2l7WJ3RER9xtqwdhxkhw/edit?usp=sharing"",""ชลบุรี!I111"")"),0)</f>
        <v>0</v>
      </c>
      <c r="J186" s="204">
        <f ca="1">IFERROR(__xludf.DUMMYFUNCTION("IMPORTRANGE(""https://docs.google.com/spreadsheets/d/1SX6NBoVAgQJ6U1MVXOaj8PK2l7WJ3RER9xtqwdhxkhw/edit?usp=sharing"",""ชลบุรี!J111"")"),0)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IFERROR(__xludf.DUMMYFUNCTION("IMPORTRANGE(""https://docs.google.com/spreadsheets/d/1SX6NBoVAgQJ6U1MVXOaj8PK2l7WJ3RER9xtqwdhxkhw/edit?usp=sharing"",""ชลบุรี!J112"")"),0)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IFERROR(__xludf.DUMMYFUNCTION("IMPORTRANGE(""https://docs.google.com/spreadsheets/d/1SX6NBoVAgQJ6U1MVXOaj8PK2l7WJ3RER9xtqwdhxkhw/edit?usp=sharing"",""ชลบุรี!J113"")"),0)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IFERROR(__xludf.DUMMYFUNCTION("IMPORTRANGE(""https://docs.google.com/spreadsheets/d/1SX6NBoVAgQJ6U1MVXOaj8PK2l7WJ3RER9xtqwdhxkhw/edit?usp=sharing"",""ชลบุรี!I114"")"),5000)</f>
        <v>5000</v>
      </c>
      <c r="J189" s="285">
        <f ca="1">IFERROR(__xludf.DUMMYFUNCTION("IMPORTRANGE(""https://docs.google.com/spreadsheets/d/1SX6NBoVAgQJ6U1MVXOaj8PK2l7WJ3RER9xtqwdhxkhw/edit?usp=sharing"",""ชลบุรี!J114"")"),5000)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IFERROR(__xludf.DUMMYFUNCTION("IMPORTRANGE(""https://docs.google.com/spreadsheets/d/1SX6NBoVAgQJ6U1MVXOaj8PK2l7WJ3RER9xtqwdhxkhw/edit?usp=sharing"",""ชลบุรี!J119"")"),0)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IFERROR(__xludf.DUMMYFUNCTION("IMPORTRANGE(""https://docs.google.com/spreadsheets/d/1SX6NBoVAgQJ6U1MVXOaj8PK2l7WJ3RER9xtqwdhxkhw/edit?usp=sharing"",""ชลบุรี!J120"")"),1)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IFERROR(__xludf.DUMMYFUNCTION("IMPORTRANGE(""https://docs.google.com/spreadsheets/d/1SX6NBoVAgQJ6U1MVXOaj8PK2l7WJ3RER9xtqwdhxkhw/edit?usp=sharing"",""ชลบุรี!J121"")"),1)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IFERROR(__xludf.DUMMYFUNCTION("IMPORTRANGE(""https://docs.google.com/spreadsheets/d/1SX6NBoVAgQJ6U1MVXOaj8PK2l7WJ3RER9xtqwdhxkhw/edit?usp=sharing"",""ชลบุรี!J122"")"),1)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IFERROR(__xludf.DUMMYFUNCTION("IMPORTRANGE(""https://docs.google.com/spreadsheets/d/1SX6NBoVAgQJ6U1MVXOaj8PK2l7WJ3RER9xtqwdhxkhw/edit?usp=sharing"",""ชลบุรี!I124"")"),5000)</f>
        <v>5000</v>
      </c>
      <c r="J199" s="189">
        <f ca="1">IFERROR(__xludf.DUMMYFUNCTION("IMPORTRANGE(""https://docs.google.com/spreadsheets/d/1SX6NBoVAgQJ6U1MVXOaj8PK2l7WJ3RER9xtqwdhxkhw/edit?usp=sharing"",""ชลบุรี!J124"")"),5000)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IFERROR(__xludf.DUMMYFUNCTION("IMPORTRANGE(""https://docs.google.com/spreadsheets/d/1SX6NBoVAgQJ6U1MVXOaj8PK2l7WJ3RER9xtqwdhxkhw/edit?usp=sharing"",""ชลบุรี!I125"")"),5000)</f>
        <v>5000</v>
      </c>
      <c r="J200" s="189">
        <f ca="1">IFERROR(__xludf.DUMMYFUNCTION("IMPORTRANGE(""https://docs.google.com/spreadsheets/d/1SX6NBoVAgQJ6U1MVXOaj8PK2l7WJ3RER9xtqwdhxkhw/edit?usp=sharing"",""ชลบุรี!J125"")"),5000)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IFERROR(__xludf.DUMMYFUNCTION("IMPORTRANGE(""https://docs.google.com/spreadsheets/d/1SX6NBoVAgQJ6U1MVXOaj8PK2l7WJ3RER9xtqwdhxkhw/edit?usp=sharing"",""ชลบุรี!I126"")"),15)</f>
        <v>15</v>
      </c>
      <c r="J201" s="189">
        <f ca="1">IFERROR(__xludf.DUMMYFUNCTION("IMPORTRANGE(""https://docs.google.com/spreadsheets/d/1SX6NBoVAgQJ6U1MVXOaj8PK2l7WJ3RER9xtqwdhxkhw/edit?usp=sharing"",""ชลบุรี!J126"")"),15)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IFERROR(__xludf.DUMMYFUNCTION("IMPORTRANGE(""https://docs.google.com/spreadsheets/d/1SX6NBoVAgQJ6U1MVXOaj8PK2l7WJ3RER9xtqwdhxkhw/edit?usp=sharing"",""ชลบุรี!J127"")"),0)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IFERROR(__xludf.DUMMYFUNCTION("IMPORTRANGE(""https://docs.google.com/spreadsheets/d/1SX6NBoVAgQJ6U1MVXOaj8PK2l7WJ3RER9xtqwdhxkhw/edit?usp=sharing"",""ชลบุรี!J128"")"),0)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IFERROR(__xludf.DUMMYFUNCTION("IMPORTRANGE(""https://docs.google.com/spreadsheets/d/1SX6NBoVAgQJ6U1MVXOaj8PK2l7WJ3RER9xtqwdhxkhw/edit?usp=sharing"",""ชลบุรี!I129"")"),40)</f>
        <v>40</v>
      </c>
      <c r="J204" s="285">
        <f ca="1">IFERROR(__xludf.DUMMYFUNCTION("IMPORTRANGE(""https://docs.google.com/spreadsheets/d/1SX6NBoVAgQJ6U1MVXOaj8PK2l7WJ3RER9xtqwdhxkhw/edit?usp=sharing"",""ชลบุรี!J129"")"),40)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IFERROR(__xludf.DUMMYFUNCTION("IMPORTRANGE(""https://docs.google.com/spreadsheets/d/1SX6NBoVAgQJ6U1MVXOaj8PK2l7WJ3RER9xtqwdhxkhw/edit?usp=sharing"",""ชลบุรี!J134"")"),0)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IFERROR(__xludf.DUMMYFUNCTION("IMPORTRANGE(""https://docs.google.com/spreadsheets/d/1SX6NBoVAgQJ6U1MVXOaj8PK2l7WJ3RER9xtqwdhxkhw/edit?usp=sharing"",""ชลบุรี!J135"")"),1)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IFERROR(__xludf.DUMMYFUNCTION("IMPORTRANGE(""https://docs.google.com/spreadsheets/d/1SX6NBoVAgQJ6U1MVXOaj8PK2l7WJ3RER9xtqwdhxkhw/edit?usp=sharing"",""ชลบุรี!J136"")"),1)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IFERROR(__xludf.DUMMYFUNCTION("IMPORTRANGE(""https://docs.google.com/spreadsheets/d/1SX6NBoVAgQJ6U1MVXOaj8PK2l7WJ3RER9xtqwdhxkhw/edit?usp=sharing"",""ชลบุรี!J137"")"),1)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IFERROR(__xludf.DUMMYFUNCTION("IMPORTRANGE(""https://docs.google.com/spreadsheets/d/1SX6NBoVAgQJ6U1MVXOaj8PK2l7WJ3RER9xtqwdhxkhw/edit?usp=sharing"",""ชลบุรี!I138"")"),40)</f>
        <v>40</v>
      </c>
      <c r="J213" s="204">
        <f ca="1">IFERROR(__xludf.DUMMYFUNCTION("IMPORTRANGE(""https://docs.google.com/spreadsheets/d/1SX6NBoVAgQJ6U1MVXOaj8PK2l7WJ3RER9xtqwdhxkhw/edit?usp=sharing"",""ชลบุรี!J138"")"),40)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IFERROR(__xludf.DUMMYFUNCTION("IMPORTRANGE(""https://docs.google.com/spreadsheets/d/1SX6NBoVAgQJ6U1MVXOaj8PK2l7WJ3RER9xtqwdhxkhw/edit?usp=sharing"",""ชลบุรี!I140"")"),40)</f>
        <v>40</v>
      </c>
      <c r="J215" s="204">
        <f ca="1">IFERROR(__xludf.DUMMYFUNCTION("IMPORTRANGE(""https://docs.google.com/spreadsheets/d/1SX6NBoVAgQJ6U1MVXOaj8PK2l7WJ3RER9xtqwdhxkhw/edit?usp=sharing"",""ชลบุรี!J140"")"),0)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IFERROR(__xludf.DUMMYFUNCTION("IMPORTRANGE(""https://docs.google.com/spreadsheets/d/1SX6NBoVAgQJ6U1MVXOaj8PK2l7WJ3RER9xtqwdhxkhw/edit?usp=sharing"",""ชลบุรี!I141"")"),0)</f>
        <v>0</v>
      </c>
      <c r="J216" s="204">
        <f ca="1">IFERROR(__xludf.DUMMYFUNCTION("IMPORTRANGE(""https://docs.google.com/spreadsheets/d/1SX6NBoVAgQJ6U1MVXOaj8PK2l7WJ3RER9xtqwdhxkhw/edit?usp=sharing"",""ชลบุรี!J141"")"),0)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IFERROR(__xludf.DUMMYFUNCTION("IMPORTRANGE(""https://docs.google.com/spreadsheets/d/1SX6NBoVAgQJ6U1MVXOaj8PK2l7WJ3RER9xtqwdhxkhw/edit?usp=sharing"",""ชลบุรี!J142"")"),0)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IFERROR(__xludf.DUMMYFUNCTION("IMPORTRANGE(""https://docs.google.com/spreadsheets/d/1SX6NBoVAgQJ6U1MVXOaj8PK2l7WJ3RER9xtqwdhxkhw/edit?usp=sharing"",""ชลบุรี!J143"")"),0)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IFERROR(__xludf.DUMMYFUNCTION("IMPORTRANGE(""https://docs.google.com/spreadsheets/d/1SX6NBoVAgQJ6U1MVXOaj8PK2l7WJ3RER9xtqwdhxkhw/edit?usp=sharing"",""ชลบุรี!I144"")"),0)</f>
        <v>0</v>
      </c>
      <c r="J219" s="268">
        <f ca="1">IFERROR(__xludf.DUMMYFUNCTION("IMPORTRANGE(""https://docs.google.com/spreadsheets/d/1SX6NBoVAgQJ6U1MVXOaj8PK2l7WJ3RER9xtqwdhxkhw/edit?usp=sharing"",""ชลบุรี!J144"")"),0)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IFERROR(__xludf.DUMMYFUNCTION("IMPORTRANGE(""https://docs.google.com/spreadsheets/d/1Yj_ptqi66GCucihVvJfMjLAmec39IyEx_6qawtMGysU/edit?usp=sharing"",""สบก!BS62"")"),0)</f>
        <v>0</v>
      </c>
      <c r="N224" s="169">
        <f ca="1">IFERROR(__xludf.DUMMYFUNCTION("IMPORTRANGE(""https://docs.google.com/spreadsheets/d/1Yj_ptqi66GCucihVvJfMjLAmec39IyEx_6qawtMGysU/edit?usp=sharing"",""สบก!BT62"")"),0)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IFERROR(__xludf.DUMMYFUNCTION("IMPORTRANGE(""https://docs.google.com/spreadsheets/d/1Yj_ptqi66GCucihVvJfMjLAmec39IyEx_6qawtMGysU/edit?usp=sharing"",""สบก!BP62"")"),0)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IFERROR(__xludf.DUMMYFUNCTION("IMPORTRANGE(""https://docs.google.com/spreadsheets/d/1SX6NBoVAgQJ6U1MVXOaj8PK2l7WJ3RER9xtqwdhxkhw/edit?usp=sharing"",""ชลบุรี!I149"")"),0)</f>
        <v>0</v>
      </c>
      <c r="J229" s="268">
        <f ca="1">IFERROR(__xludf.DUMMYFUNCTION("IMPORTRANGE(""https://docs.google.com/spreadsheets/d/1SX6NBoVAgQJ6U1MVXOaj8PK2l7WJ3RER9xtqwdhxkhw/edit?usp=sharing"",""ชลบุรี!J149"")"),0)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IFERROR(__xludf.DUMMYFUNCTION("IMPORTRANGE(""https://docs.google.com/spreadsheets/d/1SX6NBoVAgQJ6U1MVXOaj8PK2l7WJ3RER9xtqwdhxkhw/edit?usp=sharing"",""ชลบุรี!J151"")"),0)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IFERROR(__xludf.DUMMYFUNCTION("IMPORTRANGE(""https://docs.google.com/spreadsheets/d/1SX6NBoVAgQJ6U1MVXOaj8PK2l7WJ3RER9xtqwdhxkhw/edit?usp=sharing"",""ชลบุรี!J152"")"),0)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IFERROR(__xludf.DUMMYFUNCTION("IMPORTRANGE(""https://docs.google.com/spreadsheets/d/1SX6NBoVAgQJ6U1MVXOaj8PK2l7WJ3RER9xtqwdhxkhw/edit?usp=sharing"",""ชลบุรี!J153"")"),0)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IFERROR(__xludf.DUMMYFUNCTION("IMPORTRANGE(""https://docs.google.com/spreadsheets/d/1SX6NBoVAgQJ6U1MVXOaj8PK2l7WJ3RER9xtqwdhxkhw/edit?usp=sharing"",""ชลบุรี!J154"")"),0)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IFERROR(__xludf.DUMMYFUNCTION("IMPORTRANGE(""https://docs.google.com/spreadsheets/d/1SX6NBoVAgQJ6U1MVXOaj8PK2l7WJ3RER9xtqwdhxkhw/edit?usp=sharing"",""ชลบุรี!I155"")"),0)</f>
        <v>0</v>
      </c>
      <c r="J235" s="189">
        <f ca="1">IFERROR(__xludf.DUMMYFUNCTION("IMPORTRANGE(""https://docs.google.com/spreadsheets/d/1SX6NBoVAgQJ6U1MVXOaj8PK2l7WJ3RER9xtqwdhxkhw/edit?usp=sharing"",""ชลบุรี!J155"")"),0)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IFERROR(__xludf.DUMMYFUNCTION("IMPORTRANGE(""https://docs.google.com/spreadsheets/d/1SX6NBoVAgQJ6U1MVXOaj8PK2l7WJ3RER9xtqwdhxkhw/edit?usp=sharing"",""ชลบุรี!J156"")"),0)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IFERROR(__xludf.DUMMYFUNCTION("IMPORTRANGE(""https://docs.google.com/spreadsheets/d/1SX6NBoVAgQJ6U1MVXOaj8PK2l7WJ3RER9xtqwdhxkhw/edit?usp=sharing"",""ชลบุรี!J157"")"),0)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IFERROR(__xludf.DUMMYFUNCTION("IMPORTRANGE(""https://docs.google.com/spreadsheets/d/1SX6NBoVAgQJ6U1MVXOaj8PK2l7WJ3RER9xtqwdhxkhw/edit?usp=sharing"",""ชลบุรี!I158"")"),0)</f>
        <v>0</v>
      </c>
      <c r="J238" s="268">
        <f ca="1">IFERROR(__xludf.DUMMYFUNCTION("IMPORTRANGE(""https://docs.google.com/spreadsheets/d/1SX6NBoVAgQJ6U1MVXOaj8PK2l7WJ3RER9xtqwdhxkhw/edit?usp=sharing"",""ชลบุรี!J158"")"),0)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IFERROR(__xludf.DUMMYFUNCTION("IMPORTRANGE(""https://docs.google.com/spreadsheets/d/1SX6NBoVAgQJ6U1MVXOaj8PK2l7WJ3RER9xtqwdhxkhw/edit?usp=sharing"",""ชลบุรี!J159"")"),"")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IFERROR(__xludf.DUMMYFUNCTION("IMPORTRANGE(""https://docs.google.com/spreadsheets/d/1SX6NBoVAgQJ6U1MVXOaj8PK2l7WJ3RER9xtqwdhxkhw/edit?usp=sharing"",""ชลบุรี!J161"")"),0)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IFERROR(__xludf.DUMMYFUNCTION("IMPORTRANGE(""https://docs.google.com/spreadsheets/d/1SX6NBoVAgQJ6U1MVXOaj8PK2l7WJ3RER9xtqwdhxkhw/edit?usp=sharing"",""ชลบุรี!J162"")"),0)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IFERROR(__xludf.DUMMYFUNCTION("IMPORTRANGE(""https://docs.google.com/spreadsheets/d/1SX6NBoVAgQJ6U1MVXOaj8PK2l7WJ3RER9xtqwdhxkhw/edit?usp=sharing"",""ชลบุรี!J163"")"),0)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IFERROR(__xludf.DUMMYFUNCTION("IMPORTRANGE(""https://docs.google.com/spreadsheets/d/1SX6NBoVAgQJ6U1MVXOaj8PK2l7WJ3RER9xtqwdhxkhw/edit?usp=sharing"",""ชลบุรี!I164"")"),0)</f>
        <v>0</v>
      </c>
      <c r="J244" s="188">
        <f ca="1">IFERROR(__xludf.DUMMYFUNCTION("IMPORTRANGE(""https://docs.google.com/spreadsheets/d/1SX6NBoVAgQJ6U1MVXOaj8PK2l7WJ3RER9xtqwdhxkhw/edit?usp=sharing"",""ชลบุรี!J164"")"),0)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IFERROR(__xludf.DUMMYFUNCTION("IMPORTRANGE(""https://docs.google.com/spreadsheets/d/1SX6NBoVAgQJ6U1MVXOaj8PK2l7WJ3RER9xtqwdhxkhw/edit?usp=sharing"",""ชลบุรี!J165"")"),0)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IFERROR(__xludf.DUMMYFUNCTION("IMPORTRANGE(""https://docs.google.com/spreadsheets/d/1SX6NBoVAgQJ6U1MVXOaj8PK2l7WJ3RER9xtqwdhxkhw/edit?usp=sharing"",""ชลบุรี!J166"")"),0)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IFERROR(__xludf.DUMMYFUNCTION("IMPORTRANGE(""https://docs.google.com/spreadsheets/d/1SX6NBoVAgQJ6U1MVXOaj8PK2l7WJ3RER9xtqwdhxkhw/edit?usp=sharing"",""ชลบุรี!I169"")"),0)</f>
        <v>0</v>
      </c>
      <c r="J249" s="317">
        <f ca="1">IFERROR(__xludf.DUMMYFUNCTION("IMPORTRANGE(""https://docs.google.com/spreadsheets/d/1SX6NBoVAgQJ6U1MVXOaj8PK2l7WJ3RER9xtqwdhxkhw/edit?usp=sharing"",""ชลบุรี!J169"")"),0)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IFERROR(__xludf.DUMMYFUNCTION("IMPORTRANGE(""https://docs.google.com/spreadsheets/d/1Yj_ptqi66GCucihVvJfMjLAmec39IyEx_6qawtMGysU/edit?usp=sharing"",""สบก!CB62"")"),0)</f>
        <v>0</v>
      </c>
      <c r="N254" s="169">
        <f ca="1">IFERROR(__xludf.DUMMYFUNCTION("IMPORTRANGE(""https://docs.google.com/spreadsheets/d/1Yj_ptqi66GCucihVvJfMjLAmec39IyEx_6qawtMGysU/edit?usp=sharing"",""สบก!CC62"")"),0)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IFERROR(__xludf.DUMMYFUNCTION("IMPORTRANGE(""https://docs.google.com/spreadsheets/d/1Yj_ptqi66GCucihVvJfMjLAmec39IyEx_6qawtMGysU/edit?usp=sharing"",""สบก!BY62"")"),0)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IFERROR(__xludf.DUMMYFUNCTION("IMPORTRANGE(""https://docs.google.com/spreadsheets/d/1SX6NBoVAgQJ6U1MVXOaj8PK2l7WJ3RER9xtqwdhxkhw/edit?usp=sharing"",""ชลบุรี!J175"")"),0)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IFERROR(__xludf.DUMMYFUNCTION("IMPORTRANGE(""https://docs.google.com/spreadsheets/d/1SX6NBoVAgQJ6U1MVXOaj8PK2l7WJ3RER9xtqwdhxkhw/edit?usp=sharing"",""ชลบุรี!J176"")"),0)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IFERROR(__xludf.DUMMYFUNCTION("IMPORTRANGE(""https://docs.google.com/spreadsheets/d/1SX6NBoVAgQJ6U1MVXOaj8PK2l7WJ3RER9xtqwdhxkhw/edit?usp=sharing"",""ชลบุรี!J177"")"),0)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IFERROR(__xludf.DUMMYFUNCTION("IMPORTRANGE(""https://docs.google.com/spreadsheets/d/1SX6NBoVAgQJ6U1MVXOaj8PK2l7WJ3RER9xtqwdhxkhw/edit?usp=sharing"",""ชลบุรี!J178"")"),0)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IFERROR(__xludf.DUMMYFUNCTION("IMPORTRANGE(""https://docs.google.com/spreadsheets/d/1SX6NBoVAgQJ6U1MVXOaj8PK2l7WJ3RER9xtqwdhxkhw/edit?usp=sharing"",""ชลบุรี!I179"")"),0)</f>
        <v>0</v>
      </c>
      <c r="J264" s="189">
        <f ca="1">IFERROR(__xludf.DUMMYFUNCTION("IMPORTRANGE(""https://docs.google.com/spreadsheets/d/1SX6NBoVAgQJ6U1MVXOaj8PK2l7WJ3RER9xtqwdhxkhw/edit?usp=sharing"",""ชลบุรี!J179"")"),0)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IFERROR(__xludf.DUMMYFUNCTION("IMPORTRANGE(""https://docs.google.com/spreadsheets/d/1SX6NBoVAgQJ6U1MVXOaj8PK2l7WJ3RER9xtqwdhxkhw/edit?usp=sharing"",""ชลบุรี!I180"")"),0)</f>
        <v>0</v>
      </c>
      <c r="J265" s="189">
        <f ca="1">IFERROR(__xludf.DUMMYFUNCTION("IMPORTRANGE(""https://docs.google.com/spreadsheets/d/1SX6NBoVAgQJ6U1MVXOaj8PK2l7WJ3RER9xtqwdhxkhw/edit?usp=sharing"",""ชลบุรี!J180"")"),0)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IFERROR(__xludf.DUMMYFUNCTION("IMPORTRANGE(""https://docs.google.com/spreadsheets/d/1SX6NBoVAgQJ6U1MVXOaj8PK2l7WJ3RER9xtqwdhxkhw/edit?usp=sharing"",""ชลบุรี!I181"")"),0)</f>
        <v>0</v>
      </c>
      <c r="J266" s="189">
        <f ca="1">IFERROR(__xludf.DUMMYFUNCTION("IMPORTRANGE(""https://docs.google.com/spreadsheets/d/1SX6NBoVAgQJ6U1MVXOaj8PK2l7WJ3RER9xtqwdhxkhw/edit?usp=sharing"",""ชลบุรี!J181"")"),0)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IFERROR(__xludf.DUMMYFUNCTION("IMPORTRANGE(""https://docs.google.com/spreadsheets/d/1SX6NBoVAgQJ6U1MVXOaj8PK2l7WJ3RER9xtqwdhxkhw/edit?usp=sharing"",""ชลบุรี!I182"")"),0)</f>
        <v>0</v>
      </c>
      <c r="J267" s="189">
        <f ca="1">IFERROR(__xludf.DUMMYFUNCTION("IMPORTRANGE(""https://docs.google.com/spreadsheets/d/1SX6NBoVAgQJ6U1MVXOaj8PK2l7WJ3RER9xtqwdhxkhw/edit?usp=sharing"",""ชลบุรี!J182"")"),0)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IFERROR(__xludf.DUMMYFUNCTION("IMPORTRANGE(""https://docs.google.com/spreadsheets/d/1SX6NBoVAgQJ6U1MVXOaj8PK2l7WJ3RER9xtqwdhxkhw/edit?usp=sharing"",""ชลบุรี!J183"")"),0)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IFERROR(__xludf.DUMMYFUNCTION("IMPORTRANGE(""https://docs.google.com/spreadsheets/d/1SX6NBoVAgQJ6U1MVXOaj8PK2l7WJ3RER9xtqwdhxkhw/edit?usp=sharing"",""ชลบุรี!J184"")"),0)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IFERROR(__xludf.DUMMYFUNCTION("IMPORTRANGE(""https://docs.google.com/spreadsheets/d/1SX6NBoVAgQJ6U1MVXOaj8PK2l7WJ3RER9xtqwdhxkhw/edit?usp=sharing"",""ชลบุรี!I185"")"),15)</f>
        <v>15</v>
      </c>
      <c r="J270" s="317">
        <f ca="1">IFERROR(__xludf.DUMMYFUNCTION("IMPORTRANGE(""https://docs.google.com/spreadsheets/d/1SX6NBoVAgQJ6U1MVXOaj8PK2l7WJ3RER9xtqwdhxkhw/edit?usp=sharing"",""ชลบุรี!J185"")"),15)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26110</v>
      </c>
      <c r="O271" s="151">
        <f t="shared" ref="O271:O273" ca="1" si="84">IF(L271&gt;0,N271*100/L271,0)</f>
        <v>47.300724637681157</v>
      </c>
      <c r="P271" s="151">
        <f t="shared" ref="P271:P273" ca="1" si="85">IF(M271&gt;0,N271*100/M271,0)</f>
        <v>80.961240310077514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26110</v>
      </c>
      <c r="O273" s="156">
        <f t="shared" ca="1" si="84"/>
        <v>47.300724637681157</v>
      </c>
      <c r="P273" s="156">
        <f t="shared" ca="1" si="85"/>
        <v>80.961240310077514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IFERROR(__xludf.DUMMYFUNCTION("IMPORTRANGE(""https://docs.google.com/spreadsheets/d/1Yj_ptqi66GCucihVvJfMjLAmec39IyEx_6qawtMGysU/edit?usp=sharing"",""สบก!CK62"")"),32250)</f>
        <v>32250</v>
      </c>
      <c r="N275" s="169">
        <f ca="1">IFERROR(__xludf.DUMMYFUNCTION("IMPORTRANGE(""https://docs.google.com/spreadsheets/d/1Yj_ptqi66GCucihVvJfMjLAmec39IyEx_6qawtMGysU/edit?usp=sharing"",""สบก!CL62"")"),26110)</f>
        <v>26110</v>
      </c>
      <c r="O275" s="169">
        <f ca="1">IF(L275&gt;0,N275*100/L275,0)</f>
        <v>47.300724637681157</v>
      </c>
      <c r="P275" s="169">
        <f ca="1">IF(M275&gt;0,N275*100/M275,0)</f>
        <v>80.961240310077514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IFERROR(__xludf.DUMMYFUNCTION("IMPORTRANGE(""https://docs.google.com/spreadsheets/d/1Yj_ptqi66GCucihVvJfMjLAmec39IyEx_6qawtMGysU/edit?usp=sharing"",""สบก!CH62"")"),55200)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IFERROR(__xludf.DUMMYFUNCTION("IMPORTRANGE(""https://docs.google.com/spreadsheets/d/1SX6NBoVAgQJ6U1MVXOaj8PK2l7WJ3RER9xtqwdhxkhw/edit?usp=sharing"",""ชลบุรี!J191"")"),0)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IFERROR(__xludf.DUMMYFUNCTION("IMPORTRANGE(""https://docs.google.com/spreadsheets/d/1SX6NBoVAgQJ6U1MVXOaj8PK2l7WJ3RER9xtqwdhxkhw/edit?usp=sharing"",""ชลบุรี!J192"")"),1)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IFERROR(__xludf.DUMMYFUNCTION("IMPORTRANGE(""https://docs.google.com/spreadsheets/d/1SX6NBoVAgQJ6U1MVXOaj8PK2l7WJ3RER9xtqwdhxkhw/edit?usp=sharing"",""ชลบุรี!J193"")"),1)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IFERROR(__xludf.DUMMYFUNCTION("IMPORTRANGE(""https://docs.google.com/spreadsheets/d/1SX6NBoVAgQJ6U1MVXOaj8PK2l7WJ3RER9xtqwdhxkhw/edit?usp=sharing"",""ชลบุรี!J194"")"),1)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IFERROR(__xludf.DUMMYFUNCTION("IMPORTRANGE(""https://docs.google.com/spreadsheets/d/1SX6NBoVAgQJ6U1MVXOaj8PK2l7WJ3RER9xtqwdhxkhw/edit?usp=sharing"",""ชลบุรี!I195"")"),15)</f>
        <v>15</v>
      </c>
      <c r="J285" s="189">
        <f ca="1">IFERROR(__xludf.DUMMYFUNCTION("IMPORTRANGE(""https://docs.google.com/spreadsheets/d/1SX6NBoVAgQJ6U1MVXOaj8PK2l7WJ3RER9xtqwdhxkhw/edit?usp=sharing"",""ชลบุรี!J195"")"),15)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IFERROR(__xludf.DUMMYFUNCTION("IMPORTRANGE(""https://docs.google.com/spreadsheets/d/1SX6NBoVAgQJ6U1MVXOaj8PK2l7WJ3RER9xtqwdhxkhw/edit?usp=sharing"",""ชลบุรี!J196"")"),0)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IFERROR(__xludf.DUMMYFUNCTION("IMPORTRANGE(""https://docs.google.com/spreadsheets/d/1SX6NBoVAgQJ6U1MVXOaj8PK2l7WJ3RER9xtqwdhxkhw/edit?usp=sharing"",""ชลบุรี!J197"")"),0)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IFERROR(__xludf.DUMMYFUNCTION("IMPORTRANGE(""https://docs.google.com/spreadsheets/d/1SX6NBoVAgQJ6U1MVXOaj8PK2l7WJ3RER9xtqwdhxkhw/edit?usp=sharing"",""ชลบุรี!I199"")"),30)</f>
        <v>30</v>
      </c>
      <c r="J289" s="317">
        <f ca="1">IFERROR(__xludf.DUMMYFUNCTION("IMPORTRANGE(""https://docs.google.com/spreadsheets/d/1SX6NBoVAgQJ6U1MVXOaj8PK2l7WJ3RER9xtqwdhxkhw/edit?usp=sharing"",""ชลบุรี!J199"")"),30)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96320</v>
      </c>
      <c r="M290" s="152">
        <f t="shared" ca="1" si="88"/>
        <v>96320</v>
      </c>
      <c r="N290" s="152">
        <f t="shared" ca="1" si="88"/>
        <v>91200</v>
      </c>
      <c r="O290" s="151">
        <f t="shared" ref="O290:O292" ca="1" si="89">IF(L290&gt;0,N290*100/L290,0)</f>
        <v>94.684385382059801</v>
      </c>
      <c r="P290" s="151">
        <f t="shared" ref="P290:P292" ca="1" si="90">IF(M290&gt;0,N290*100/M290,0)</f>
        <v>94.684385382059801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96320</v>
      </c>
      <c r="M292" s="157">
        <f t="shared" ca="1" si="92"/>
        <v>96320</v>
      </c>
      <c r="N292" s="157">
        <f t="shared" ca="1" si="92"/>
        <v>91200</v>
      </c>
      <c r="O292" s="156">
        <f t="shared" ca="1" si="89"/>
        <v>94.684385382059801</v>
      </c>
      <c r="P292" s="156">
        <f t="shared" ca="1" si="90"/>
        <v>94.684385382059801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96320</v>
      </c>
      <c r="M294" s="168">
        <f ca="1">IFERROR(__xludf.DUMMYFUNCTION("IMPORTRANGE(""https://docs.google.com/spreadsheets/d/1Yj_ptqi66GCucihVvJfMjLAmec39IyEx_6qawtMGysU/edit?usp=sharing"",""สบก!CT62"")"),96320)</f>
        <v>96320</v>
      </c>
      <c r="N294" s="169">
        <f ca="1">IFERROR(__xludf.DUMMYFUNCTION("IMPORTRANGE(""https://docs.google.com/spreadsheets/d/1Yj_ptqi66GCucihVvJfMjLAmec39IyEx_6qawtMGysU/edit?usp=sharing"",""สบก!CU62"")"),91200)</f>
        <v>91200</v>
      </c>
      <c r="O294" s="169">
        <f ca="1">IF(L294&gt;0,N294*100/L294,0)</f>
        <v>94.684385382059801</v>
      </c>
      <c r="P294" s="169">
        <f ca="1">IF(M294&gt;0,N294*100/M294,0)</f>
        <v>94.684385382059801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IFERROR(__xludf.DUMMYFUNCTION("IMPORTRANGE(""https://docs.google.com/spreadsheets/d/1Yj_ptqi66GCucihVvJfMjLAmec39IyEx_6qawtMGysU/edit?usp=sharing"",""สบก!CQ62"")"),96320)</f>
        <v>96320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IFERROR(__xludf.DUMMYFUNCTION("IMPORTRANGE(""https://docs.google.com/spreadsheets/d/1SX6NBoVAgQJ6U1MVXOaj8PK2l7WJ3RER9xtqwdhxkhw/edit?usp=sharing"",""ชลบุรี!J205"")"),0)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IFERROR(__xludf.DUMMYFUNCTION("IMPORTRANGE(""https://docs.google.com/spreadsheets/d/1SX6NBoVAgQJ6U1MVXOaj8PK2l7WJ3RER9xtqwdhxkhw/edit?usp=sharing"",""ชลบุรี!J206"")"),1)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IFERROR(__xludf.DUMMYFUNCTION("IMPORTRANGE(""https://docs.google.com/spreadsheets/d/1SX6NBoVAgQJ6U1MVXOaj8PK2l7WJ3RER9xtqwdhxkhw/edit?usp=sharing"",""ชลบุรี!J207"")"),1)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IFERROR(__xludf.DUMMYFUNCTION("IMPORTRANGE(""https://docs.google.com/spreadsheets/d/1SX6NBoVAgQJ6U1MVXOaj8PK2l7WJ3RER9xtqwdhxkhw/edit?usp=sharing"",""ชลบุรี!J208"")"),1)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IFERROR(__xludf.DUMMYFUNCTION("IMPORTRANGE(""https://docs.google.com/spreadsheets/d/1SX6NBoVAgQJ6U1MVXOaj8PK2l7WJ3RER9xtqwdhxkhw/edit?usp=sharing"",""ชลบุรี!I209"")"),30)</f>
        <v>30</v>
      </c>
      <c r="J304" s="204">
        <f ca="1">IFERROR(__xludf.DUMMYFUNCTION("IMPORTRANGE(""https://docs.google.com/spreadsheets/d/1SX6NBoVAgQJ6U1MVXOaj8PK2l7WJ3RER9xtqwdhxkhw/edit?usp=sharing"",""ชลบุรี!J209"")"),30)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IFERROR(__xludf.DUMMYFUNCTION("IMPORTRANGE(""https://docs.google.com/spreadsheets/d/1SX6NBoVAgQJ6U1MVXOaj8PK2l7WJ3RER9xtqwdhxkhw/edit?usp=sharing"",""ชลบุรี!I211"")"),30)</f>
        <v>30</v>
      </c>
      <c r="J306" s="204">
        <f ca="1">IFERROR(__xludf.DUMMYFUNCTION("IMPORTRANGE(""https://docs.google.com/spreadsheets/d/1SX6NBoVAgQJ6U1MVXOaj8PK2l7WJ3RER9xtqwdhxkhw/edit?usp=sharing"",""ชลบุรี!J211"")"),0)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IFERROR(__xludf.DUMMYFUNCTION("IMPORTRANGE(""https://docs.google.com/spreadsheets/d/1SX6NBoVAgQJ6U1MVXOaj8PK2l7WJ3RER9xtqwdhxkhw/edit?usp=sharing"",""ชลบุรี!J212"")"),0)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IFERROR(__xludf.DUMMYFUNCTION("IMPORTRANGE(""https://docs.google.com/spreadsheets/d/1SX6NBoVAgQJ6U1MVXOaj8PK2l7WJ3RER9xtqwdhxkhw/edit?usp=sharing"",""ชลบุรี!J213"")"),0)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IFERROR(__xludf.DUMMYFUNCTION("IMPORTRANGE(""https://docs.google.com/spreadsheets/d/1SX6NBoVAgQJ6U1MVXOaj8PK2l7WJ3RER9xtqwdhxkhw/edit?usp=sharing"",""ชลบุรี!I214"")"),2)</f>
        <v>2</v>
      </c>
      <c r="J309" s="334">
        <f ca="1">IFERROR(__xludf.DUMMYFUNCTION("IMPORTRANGE(""https://docs.google.com/spreadsheets/d/1SX6NBoVAgQJ6U1MVXOaj8PK2l7WJ3RER9xtqwdhxkhw/edit?usp=sharing"",""ชลบุรี!J214"")"),2)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359600</v>
      </c>
      <c r="M310" s="152">
        <f t="shared" ca="1" si="93"/>
        <v>269700</v>
      </c>
      <c r="N310" s="152">
        <f t="shared" ca="1" si="93"/>
        <v>193917</v>
      </c>
      <c r="O310" s="151">
        <f t="shared" ref="O310:O312" ca="1" si="94">IF(L310&gt;0,N310*100/L310,0)</f>
        <v>53.925750834260292</v>
      </c>
      <c r="P310" s="151">
        <f t="shared" ref="P310:P312" ca="1" si="95">IF(M310&gt;0,N310*100/M310,0)</f>
        <v>71.901001112347046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359600</v>
      </c>
      <c r="M312" s="157">
        <f t="shared" ca="1" si="97"/>
        <v>269700</v>
      </c>
      <c r="N312" s="157">
        <f t="shared" ca="1" si="97"/>
        <v>193917</v>
      </c>
      <c r="O312" s="156">
        <f t="shared" ca="1" si="94"/>
        <v>53.925750834260292</v>
      </c>
      <c r="P312" s="156">
        <f t="shared" ca="1" si="95"/>
        <v>71.901001112347046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359600</v>
      </c>
      <c r="M314" s="168">
        <f ca="1">IFERROR(__xludf.DUMMYFUNCTION("IMPORTRANGE(""https://docs.google.com/spreadsheets/d/1Yj_ptqi66GCucihVvJfMjLAmec39IyEx_6qawtMGysU/edit?usp=sharing"",""สบก!DC62"")"),269700)</f>
        <v>269700</v>
      </c>
      <c r="N314" s="169">
        <f ca="1">IFERROR(__xludf.DUMMYFUNCTION("IMPORTRANGE(""https://docs.google.com/spreadsheets/d/1Yj_ptqi66GCucihVvJfMjLAmec39IyEx_6qawtMGysU/edit?usp=sharing"",""สบก!DD62"")"),193917)</f>
        <v>193917</v>
      </c>
      <c r="O314" s="169">
        <f ca="1">IF(L314&gt;0,N314*100/L314,0)</f>
        <v>53.925750834260292</v>
      </c>
      <c r="P314" s="169">
        <f ca="1">IF(M314&gt;0,N314*100/M314,0)</f>
        <v>71.901001112347046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IFERROR(__xludf.DUMMYFUNCTION("IMPORTRANGE(""https://docs.google.com/spreadsheets/d/1Yj_ptqi66GCucihVvJfMjLAmec39IyEx_6qawtMGysU/edit?usp=sharing"",""สบก!CZ62"")"),359600)</f>
        <v>359600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IFERROR(__xludf.DUMMYFUNCTION("IMPORTRANGE(""https://docs.google.com/spreadsheets/d/1SX6NBoVAgQJ6U1MVXOaj8PK2l7WJ3RER9xtqwdhxkhw/edit?usp=sharing"",""ชลบุรี!J220"")"),0)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IFERROR(__xludf.DUMMYFUNCTION("IMPORTRANGE(""https://docs.google.com/spreadsheets/d/1SX6NBoVAgQJ6U1MVXOaj8PK2l7WJ3RER9xtqwdhxkhw/edit?usp=sharing"",""ชลบุรี!J221"")"),1)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IFERROR(__xludf.DUMMYFUNCTION("IMPORTRANGE(""https://docs.google.com/spreadsheets/d/1SX6NBoVAgQJ6U1MVXOaj8PK2l7WJ3RER9xtqwdhxkhw/edit?usp=sharing"",""ชลบุรี!J222"")"),1)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IFERROR(__xludf.DUMMYFUNCTION("IMPORTRANGE(""https://docs.google.com/spreadsheets/d/1SX6NBoVAgQJ6U1MVXOaj8PK2l7WJ3RER9xtqwdhxkhw/edit?usp=sharing"",""ชลบุรี!J223"")"),1)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IFERROR(__xludf.DUMMYFUNCTION("IMPORTRANGE(""https://docs.google.com/spreadsheets/d/1SX6NBoVAgQJ6U1MVXOaj8PK2l7WJ3RER9xtqwdhxkhw/edit?usp=sharing"",""ชลบุรี!I224"")"),2)</f>
        <v>2</v>
      </c>
      <c r="J324" s="204">
        <f ca="1">IFERROR(__xludf.DUMMYFUNCTION("IMPORTRANGE(""https://docs.google.com/spreadsheets/d/1SX6NBoVAgQJ6U1MVXOaj8PK2l7WJ3RER9xtqwdhxkhw/edit?usp=sharing"",""ชลบุรี!J224"")"),2)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IFERROR(__xludf.DUMMYFUNCTION("IMPORTRANGE(""https://docs.google.com/spreadsheets/d/1SX6NBoVAgQJ6U1MVXOaj8PK2l7WJ3RER9xtqwdhxkhw/edit?usp=sharing"",""ชลบุรี!J225"")"),0)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IFERROR(__xludf.DUMMYFUNCTION("IMPORTRANGE(""https://docs.google.com/spreadsheets/d/1SX6NBoVAgQJ6U1MVXOaj8PK2l7WJ3RER9xtqwdhxkhw/edit?usp=sharing"",""ชลบุรี!J226"")"),0)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IFERROR(__xludf.DUMMYFUNCTION("IMPORTRANGE(""https://docs.google.com/spreadsheets/d/1SX6NBoVAgQJ6U1MVXOaj8PK2l7WJ3RER9xtqwdhxkhw/edit?usp=sharing"",""ชลบุรี!I228"")"),340)</f>
        <v>340</v>
      </c>
      <c r="J328" s="340">
        <f ca="1">IFERROR(__xludf.DUMMYFUNCTION("IMPORTRANGE(""https://docs.google.com/spreadsheets/d/1SX6NBoVAgQJ6U1MVXOaj8PK2l7WJ3RER9xtqwdhxkhw/edit?usp=sharing"",""ชลบุรี!J228"")"),235)</f>
        <v>235</v>
      </c>
      <c r="K328" s="318">
        <f ca="1">IF(I328&gt;0,J328*100/I328,0)</f>
        <v>69.117647058823536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1040200</v>
      </c>
      <c r="M329" s="152">
        <f t="shared" ca="1" si="98"/>
        <v>865930</v>
      </c>
      <c r="N329" s="152">
        <f t="shared" ca="1" si="98"/>
        <v>674000.14</v>
      </c>
      <c r="O329" s="151">
        <f t="shared" ref="O329:O331" ca="1" si="99">IF(L329&gt;0,N329*100/L329,0)</f>
        <v>64.795245145164387</v>
      </c>
      <c r="P329" s="151">
        <f t="shared" ref="P329:P331" ca="1" si="100">IF(M329&gt;0,N329*100/M329,0)</f>
        <v>77.835407019043103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1040200</v>
      </c>
      <c r="M331" s="157">
        <f t="shared" ca="1" si="102"/>
        <v>865930</v>
      </c>
      <c r="N331" s="157">
        <f t="shared" ca="1" si="102"/>
        <v>674000.14</v>
      </c>
      <c r="O331" s="156">
        <f t="shared" ca="1" si="99"/>
        <v>64.795245145164387</v>
      </c>
      <c r="P331" s="156">
        <f t="shared" ca="1" si="100"/>
        <v>77.835407019043103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1013200</v>
      </c>
      <c r="M333" s="168">
        <f ca="1">IFERROR(__xludf.DUMMYFUNCTION("IMPORTRANGE(""https://docs.google.com/spreadsheets/d/1Yj_ptqi66GCucihVvJfMjLAmec39IyEx_6qawtMGysU/edit?usp=sharing"",""สบก!DL62"")"),838930)</f>
        <v>838930</v>
      </c>
      <c r="N333" s="169">
        <f ca="1">IFERROR(__xludf.DUMMYFUNCTION("IMPORTRANGE(""https://docs.google.com/spreadsheets/d/1Yj_ptqi66GCucihVvJfMjLAmec39IyEx_6qawtMGysU/edit?usp=sharing"",""สบก!DM62"")"),647000.14)</f>
        <v>647000.14</v>
      </c>
      <c r="O333" s="169">
        <f ca="1">IF(L333&gt;0,N333*100/L333,0)</f>
        <v>63.857100276352149</v>
      </c>
      <c r="P333" s="169">
        <f ca="1">IF(M333&gt;0,N333*100/M333,0)</f>
        <v>77.122065011383555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IFERROR(__xludf.DUMMYFUNCTION("IMPORTRANGE(""https://docs.google.com/spreadsheets/d/1Yj_ptqi66GCucihVvJfMjLAmec39IyEx_6qawtMGysU/edit?usp=sharing"",""สบก!DH62"")"),470000)</f>
        <v>470000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IFERROR(__xludf.DUMMYFUNCTION("IMPORTRANGE(""https://docs.google.com/spreadsheets/d/1Yj_ptqi66GCucihVvJfMjLAmec39IyEx_6qawtMGysU/edit?usp=sharing"",""สบก!DI62"")"),543200)</f>
        <v>543200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IFERROR(__xludf.DUMMYFUNCTION("IMPORTRANGE(""https://docs.google.com/spreadsheets/d/1SX6NBoVAgQJ6U1MVXOaj8PK2l7WJ3RER9xtqwdhxkhw/edit?usp=sharing"",""ชลบุรี!I234"")"),0)</f>
        <v>0</v>
      </c>
      <c r="J339" s="188">
        <f ca="1">IFERROR(__xludf.DUMMYFUNCTION("IMPORTRANGE(""https://docs.google.com/spreadsheets/d/1SX6NBoVAgQJ6U1MVXOaj8PK2l7WJ3RER9xtqwdhxkhw/edit?usp=sharing"",""ชลบุรี!J234"")"),379)</f>
        <v>379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IFERROR(__xludf.DUMMYFUNCTION("IMPORTRANGE(""https://docs.google.com/spreadsheets/d/1SX6NBoVAgQJ6U1MVXOaj8PK2l7WJ3RER9xtqwdhxkhw/edit?usp=sharing"",""ชลบุรี!I235"")"),4200)</f>
        <v>4200</v>
      </c>
      <c r="J340" s="188">
        <f ca="1">IFERROR(__xludf.DUMMYFUNCTION("IMPORTRANGE(""https://docs.google.com/spreadsheets/d/1SX6NBoVAgQJ6U1MVXOaj8PK2l7WJ3RER9xtqwdhxkhw/edit?usp=sharing"",""ชลบุรี!J235"")"),4413.92)</f>
        <v>4413.92</v>
      </c>
      <c r="K340" s="343">
        <f t="shared" ca="1" si="103"/>
        <v>105.09333333333333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IFERROR(__xludf.DUMMYFUNCTION("IMPORTRANGE(""https://docs.google.com/spreadsheets/d/1SX6NBoVAgQJ6U1MVXOaj8PK2l7WJ3RER9xtqwdhxkhw/edit?usp=sharing"",""ชลบุรี!I236"")"),340)</f>
        <v>340</v>
      </c>
      <c r="J341" s="188">
        <f ca="1">IFERROR(__xludf.DUMMYFUNCTION("IMPORTRANGE(""https://docs.google.com/spreadsheets/d/1SX6NBoVAgQJ6U1MVXOaj8PK2l7WJ3RER9xtqwdhxkhw/edit?usp=sharing"",""ชลบุรี!J236"")"),261)</f>
        <v>261</v>
      </c>
      <c r="K341" s="343">
        <f t="shared" ca="1" si="103"/>
        <v>76.764705882352942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8">
        <f ca="1">IFERROR(__xludf.DUMMYFUNCTION("IMPORTRANGE(""https://docs.google.com/spreadsheets/d/1SX6NBoVAgQJ6U1MVXOaj8PK2l7WJ3RER9xtqwdhxkhw/edit?usp=sharing"",""ชลบุรี!J237"")"),2925.3)</f>
        <v>2925.3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IFERROR(__xludf.DUMMYFUNCTION("IMPORTRANGE(""https://docs.google.com/spreadsheets/d/1SX6NBoVAgQJ6U1MVXOaj8PK2l7WJ3RER9xtqwdhxkhw/edit?usp=sharing"",""ชลบุรี!I238"")"),340)</f>
        <v>340</v>
      </c>
      <c r="J343" s="188">
        <f ca="1">IFERROR(__xludf.DUMMYFUNCTION("IMPORTRANGE(""https://docs.google.com/spreadsheets/d/1SX6NBoVAgQJ6U1MVXOaj8PK2l7WJ3RER9xtqwdhxkhw/edit?usp=sharing"",""ชลบุรี!J238"")"),1)</f>
        <v>1</v>
      </c>
      <c r="K343" s="343">
        <f t="shared" ca="1" si="103"/>
        <v>0.29411764705882354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8">
        <f ca="1">IFERROR(__xludf.DUMMYFUNCTION("IMPORTRANGE(""https://docs.google.com/spreadsheets/d/1SX6NBoVAgQJ6U1MVXOaj8PK2l7WJ3RER9xtqwdhxkhw/edit?usp=sharing"",""ชลบุรี!J239"")"),2)</f>
        <v>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IFERROR(__xludf.DUMMYFUNCTION("IMPORTRANGE(""https://docs.google.com/spreadsheets/d/1SX6NBoVAgQJ6U1MVXOaj8PK2l7WJ3RER9xtqwdhxkhw/edit?usp=sharing"",""ชลบุรี!I240"")"),340)</f>
        <v>340</v>
      </c>
      <c r="J345" s="188">
        <f ca="1">IFERROR(__xludf.DUMMYFUNCTION("IMPORTRANGE(""https://docs.google.com/spreadsheets/d/1SX6NBoVAgQJ6U1MVXOaj8PK2l7WJ3RER9xtqwdhxkhw/edit?usp=sharing"",""ชลบุรี!J240"")"),235)</f>
        <v>235</v>
      </c>
      <c r="K345" s="343">
        <f t="shared" ca="1" si="103"/>
        <v>69.117647058823536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8">
        <f ca="1">IFERROR(__xludf.DUMMYFUNCTION("IMPORTRANGE(""https://docs.google.com/spreadsheets/d/1SX6NBoVAgQJ6U1MVXOaj8PK2l7WJ3RER9xtqwdhxkhw/edit?usp=sharing"",""ชลบุรี!J241"")"),2615.59)</f>
        <v>2615.59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IFERROR(__xludf.DUMMYFUNCTION("IMPORTRANGE(""https://docs.google.com/spreadsheets/d/1SX6NBoVAgQJ6U1MVXOaj8PK2l7WJ3RER9xtqwdhxkhw/edit?usp=sharing"",""ชลบุรี!L242"")"),1623035)</f>
        <v>1623035</v>
      </c>
      <c r="M347" s="358"/>
      <c r="N347" s="358">
        <f ca="1">IFERROR(__xludf.DUMMYFUNCTION("IMPORTRANGE(""https://docs.google.com/spreadsheets/d/1SX6NBoVAgQJ6U1MVXOaj8PK2l7WJ3RER9xtqwdhxkhw/edit?usp=sharing"",""ชลบุรี!M242"")"),399343.74)</f>
        <v>399343.74</v>
      </c>
      <c r="O347" s="358">
        <f ca="1">+IF(L347&gt;0,N347*100/L347,0)</f>
        <v>24.604752208054663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IFERROR(__xludf.DUMMYFUNCTION("IMPORTRANGE(""https://docs.google.com/spreadsheets/d/1SX6NBoVAgQJ6U1MVXOaj8PK2l7WJ3RER9xtqwdhxkhw/edit?usp=sharing"",""ชลบุรี!M244"")"),99673)</f>
        <v>99673</v>
      </c>
      <c r="O349" s="373">
        <f ca="1">+IF(L349&gt;0,N349*100/L349,0)</f>
        <v>45.076429088277855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IFERROR(__xludf.DUMMYFUNCTION("IMPORTRANGE(""https://docs.google.com/spreadsheets/d/1SX6NBoVAgQJ6U1MVXOaj8PK2l7WJ3RER9xtqwdhxkhw/edit?usp=sharing"",""ชลบุรี!L246"")"),0)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IFERROR(__xludf.DUMMYFUNCTION("IMPORTRANGE(""https://docs.google.com/spreadsheets/d/1SX6NBoVAgQJ6U1MVXOaj8PK2l7WJ3RER9xtqwdhxkhw/edit?usp=sharing"",""ชลบุรี!M246"")"),0)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IFERROR(__xludf.DUMMYFUNCTION("IMPORTRANGE(""https://docs.google.com/spreadsheets/d/1SX6NBoVAgQJ6U1MVXOaj8PK2l7WJ3RER9xtqwdhxkhw/edit?usp=sharing"",""ชลบุรี!L247"")"),221120)</f>
        <v>221120</v>
      </c>
      <c r="M352" s="165"/>
      <c r="N352" s="164">
        <f ca="1">IFERROR(__xludf.DUMMYFUNCTION("IMPORTRANGE(""https://docs.google.com/spreadsheets/d/1SX6NBoVAgQJ6U1MVXOaj8PK2l7WJ3RER9xtqwdhxkhw/edit?usp=sharing"",""ชลบุรี!M247"")"),99673)</f>
        <v>99673</v>
      </c>
      <c r="O352" s="165">
        <f t="shared" ca="1" si="105"/>
        <v>45.076429088277855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IFERROR(__xludf.DUMMYFUNCTION("IMPORTRANGE(""https://docs.google.com/spreadsheets/d/1SX6NBoVAgQJ6U1MVXOaj8PK2l7WJ3RER9xtqwdhxkhw/edit?usp=sharing"",""ชลบุรี!L248"")"),0)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IFERROR(__xludf.DUMMYFUNCTION("IMPORTRANGE(""https://docs.google.com/spreadsheets/d/1SX6NBoVAgQJ6U1MVXOaj8PK2l7WJ3RER9xtqwdhxkhw/edit?usp=sharing"",""ชลบุรี!M248"")"),0)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IFERROR(__xludf.DUMMYFUNCTION("IMPORTRANGE(""https://docs.google.com/spreadsheets/d/1SX6NBoVAgQJ6U1MVXOaj8PK2l7WJ3RER9xtqwdhxkhw/edit?usp=sharing"",""ชลบุรี!L249"")"),221120)</f>
        <v>221120</v>
      </c>
      <c r="M354" s="169"/>
      <c r="N354" s="168">
        <f ca="1">IFERROR(__xludf.DUMMYFUNCTION("IMPORTRANGE(""https://docs.google.com/spreadsheets/d/1SX6NBoVAgQJ6U1MVXOaj8PK2l7WJ3RER9xtqwdhxkhw/edit?usp=sharing"",""ชลบุรี!M249"")"),99673)</f>
        <v>99673</v>
      </c>
      <c r="O354" s="169">
        <f t="shared" ca="1" si="105"/>
        <v>45.076429088277855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IFERROR(__xludf.DUMMYFUNCTION("IMPORTRANGE(""https://docs.google.com/spreadsheets/d/1SX6NBoVAgQJ6U1MVXOaj8PK2l7WJ3RER9xtqwdhxkhw/edit?usp=sharing"",""ชลบุรี!M250"")"),0)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IFERROR(__xludf.DUMMYFUNCTION("IMPORTRANGE(""https://docs.google.com/spreadsheets/d/1SX6NBoVAgQJ6U1MVXOaj8PK2l7WJ3RER9xtqwdhxkhw/edit?usp=sharing"",""ชลบุรี!M251"")"),0)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IFERROR(__xludf.DUMMYFUNCTION("IMPORTRANGE(""https://docs.google.com/spreadsheets/d/1SX6NBoVAgQJ6U1MVXOaj8PK2l7WJ3RER9xtqwdhxkhw/edit?usp=sharing"",""ชลบุรี!M252"")"),76633)</f>
        <v>76633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IFERROR(__xludf.DUMMYFUNCTION("IMPORTRANGE(""https://docs.google.com/spreadsheets/d/1SX6NBoVAgQJ6U1MVXOaj8PK2l7WJ3RER9xtqwdhxkhw/edit?usp=sharing"",""ชลบุรี!M253"")"),23040)</f>
        <v>23040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IFERROR(__xludf.DUMMYFUNCTION("IMPORTRANGE(""https://docs.google.com/spreadsheets/d/1SX6NBoVAgQJ6U1MVXOaj8PK2l7WJ3RER9xtqwdhxkhw/edit?usp=sharing"",""ชลบุรี!J255"")"),0)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IFERROR(__xludf.DUMMYFUNCTION("IMPORTRANGE(""https://docs.google.com/spreadsheets/d/1SX6NBoVAgQJ6U1MVXOaj8PK2l7WJ3RER9xtqwdhxkhw/edit?usp=sharing"",""ชลบุรี!J256"")"),1)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IFERROR(__xludf.DUMMYFUNCTION("IMPORTRANGE(""https://docs.google.com/spreadsheets/d/1SX6NBoVAgQJ6U1MVXOaj8PK2l7WJ3RER9xtqwdhxkhw/edit?usp=sharing"",""ชลบุรี!J257"")"),0)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IFERROR(__xludf.DUMMYFUNCTION("IMPORTRANGE(""https://docs.google.com/spreadsheets/d/1SX6NBoVAgQJ6U1MVXOaj8PK2l7WJ3RER9xtqwdhxkhw/edit?usp=sharing"",""ชลบุรี!J258"")"),0)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IFERROR(__xludf.DUMMYFUNCTION("IMPORTRANGE(""https://docs.google.com/spreadsheets/d/1SX6NBoVAgQJ6U1MVXOaj8PK2l7WJ3RER9xtqwdhxkhw/edit?usp=sharing"",""ชลบุรี!J166"")"),0)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IFERROR(__xludf.DUMMYFUNCTION("IMPORTRANGE(""https://docs.google.com/spreadsheets/d/1SX6NBoVAgQJ6U1MVXOaj8PK2l7WJ3RER9xtqwdhxkhw/edit?usp=sharing"",""ชลบุรี!J166"")"),0)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IFERROR(__xludf.DUMMYFUNCTION("IMPORTRANGE(""https://docs.google.com/spreadsheets/d/1SX6NBoVAgQJ6U1MVXOaj8PK2l7WJ3RER9xtqwdhxkhw/edit?usp=sharing"",""ชลบุรี!J166"")"),0)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IFERROR(__xludf.DUMMYFUNCTION("IMPORTRANGE(""https://docs.google.com/spreadsheets/d/1SX6NBoVAgQJ6U1MVXOaj8PK2l7WJ3RER9xtqwdhxkhw/edit?usp=sharing"",""ชลบุรี!J166"")"),0)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IFERROR(__xludf.DUMMYFUNCTION("IMPORTRANGE(""https://docs.google.com/spreadsheets/d/1SX6NBoVAgQJ6U1MVXOaj8PK2l7WJ3RER9xtqwdhxkhw/edit?usp=sharing"",""ชลบุรี!I263"")"),20)</f>
        <v>20</v>
      </c>
      <c r="J368" s="188">
        <f ca="1">IFERROR(__xludf.DUMMYFUNCTION("IMPORTRANGE(""https://docs.google.com/spreadsheets/d/1SX6NBoVAgQJ6U1MVXOaj8PK2l7WJ3RER9xtqwdhxkhw/edit?usp=sharing"",""ชลบุรี!J263"")"),0)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IFERROR(__xludf.DUMMYFUNCTION("IMPORTRANGE(""https://docs.google.com/spreadsheets/d/1SX6NBoVAgQJ6U1MVXOaj8PK2l7WJ3RER9xtqwdhxkhw/edit?usp=sharing"",""ชลบุรี!I164"")"),0)</f>
        <v>0</v>
      </c>
      <c r="J369" s="204">
        <f ca="1">IFERROR(__xludf.DUMMYFUNCTION("IMPORTRANGE(""https://docs.google.com/spreadsheets/d/1SX6NBoVAgQJ6U1MVXOaj8PK2l7WJ3RER9xtqwdhxkhw/edit?usp=sharing"",""ชลบุรี!J164"")"),0)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IFERROR(__xludf.DUMMYFUNCTION("IMPORTRANGE(""https://docs.google.com/spreadsheets/d/1SX6NBoVAgQJ6U1MVXOaj8PK2l7WJ3RER9xtqwdhxkhw/edit?usp=sharing"",""ชลบุรี!I265"")"),20)</f>
        <v>20</v>
      </c>
      <c r="J370" s="204">
        <f ca="1">IFERROR(__xludf.DUMMYFUNCTION("IMPORTRANGE(""https://docs.google.com/spreadsheets/d/1SX6NBoVAgQJ6U1MVXOaj8PK2l7WJ3RER9xtqwdhxkhw/edit?usp=sharing"",""ชลบุรี!J265"")"),0)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IFERROR(__xludf.DUMMYFUNCTION("IMPORTRANGE(""https://docs.google.com/spreadsheets/d/1SX6NBoVAgQJ6U1MVXOaj8PK2l7WJ3RER9xtqwdhxkhw/edit?usp=sharing"",""ชลบุรี!I164"")"),0)</f>
        <v>0</v>
      </c>
      <c r="J371" s="189">
        <f ca="1">IFERROR(__xludf.DUMMYFUNCTION("IMPORTRANGE(""https://docs.google.com/spreadsheets/d/1SX6NBoVAgQJ6U1MVXOaj8PK2l7WJ3RER9xtqwdhxkhw/edit?usp=sharing"",""ชลบุรี!J164"")"),0)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IFERROR(__xludf.DUMMYFUNCTION("IMPORTRANGE(""https://docs.google.com/spreadsheets/d/1SX6NBoVAgQJ6U1MVXOaj8PK2l7WJ3RER9xtqwdhxkhw/edit?usp=sharing"",""ชลบุรี!I267"")"),20)</f>
        <v>20</v>
      </c>
      <c r="J372" s="189">
        <f ca="1">IFERROR(__xludf.DUMMYFUNCTION("IMPORTRANGE(""https://docs.google.com/spreadsheets/d/1SX6NBoVAgQJ6U1MVXOaj8PK2l7WJ3RER9xtqwdhxkhw/edit?usp=sharing"",""ชลบุรี!J267"")"),0)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IFERROR(__xludf.DUMMYFUNCTION("IMPORTRANGE(""https://docs.google.com/spreadsheets/d/1SX6NBoVAgQJ6U1MVXOaj8PK2l7WJ3RER9xtqwdhxkhw/edit?usp=sharing"",""ชลบุรี!I164"")"),0)</f>
        <v>0</v>
      </c>
      <c r="J373" s="204">
        <f ca="1">IFERROR(__xludf.DUMMYFUNCTION("IMPORTRANGE(""https://docs.google.com/spreadsheets/d/1SX6NBoVAgQJ6U1MVXOaj8PK2l7WJ3RER9xtqwdhxkhw/edit?usp=sharing"",""ชลบุรี!J164"")"),0)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IFERROR(__xludf.DUMMYFUNCTION("IMPORTRANGE(""https://docs.google.com/spreadsheets/d/1SX6NBoVAgQJ6U1MVXOaj8PK2l7WJ3RER9xtqwdhxkhw/edit?usp=sharing"",""ชลบุรี!I164"")"),0)</f>
        <v>0</v>
      </c>
      <c r="J374" s="188">
        <f ca="1">IFERROR(__xludf.DUMMYFUNCTION("IMPORTRANGE(""https://docs.google.com/spreadsheets/d/1SX6NBoVAgQJ6U1MVXOaj8PK2l7WJ3RER9xtqwdhxkhw/edit?usp=sharing"",""ชลบุรี!J164"")"),0)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IFERROR(__xludf.DUMMYFUNCTION("IMPORTRANGE(""https://docs.google.com/spreadsheets/d/1SX6NBoVAgQJ6U1MVXOaj8PK2l7WJ3RER9xtqwdhxkhw/edit?usp=sharing"",""ชลบุรี!I270"")"),20)</f>
        <v>20</v>
      </c>
      <c r="J375" s="188">
        <f ca="1">IFERROR(__xludf.DUMMYFUNCTION("IMPORTRANGE(""https://docs.google.com/spreadsheets/d/1SX6NBoVAgQJ6U1MVXOaj8PK2l7WJ3RER9xtqwdhxkhw/edit?usp=sharing"",""ชลบุรี!J270"")"),0)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IFERROR(__xludf.DUMMYFUNCTION("IMPORTRANGE(""https://docs.google.com/spreadsheets/d/1SX6NBoVAgQJ6U1MVXOaj8PK2l7WJ3RER9xtqwdhxkhw/edit?usp=sharing"",""ชลบุรี!I271"")"),0)</f>
        <v>0</v>
      </c>
      <c r="J376" s="189">
        <f ca="1">IFERROR(__xludf.DUMMYFUNCTION("IMPORTRANGE(""https://docs.google.com/spreadsheets/d/1SX6NBoVAgQJ6U1MVXOaj8PK2l7WJ3RER9xtqwdhxkhw/edit?usp=sharing"",""ชลบุรี!J271"")"),0)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IFERROR(__xludf.DUMMYFUNCTION("IMPORTRANGE(""https://docs.google.com/spreadsheets/d/1SX6NBoVAgQJ6U1MVXOaj8PK2l7WJ3RER9xtqwdhxkhw/edit?usp=sharing"",""ชลบุรี!I272"")"),20)</f>
        <v>20</v>
      </c>
      <c r="J377" s="204">
        <f ca="1">IFERROR(__xludf.DUMMYFUNCTION("IMPORTRANGE(""https://docs.google.com/spreadsheets/d/1SX6NBoVAgQJ6U1MVXOaj8PK2l7WJ3RER9xtqwdhxkhw/edit?usp=sharing"",""ชลบุรี!J272"")"),0)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IFERROR(__xludf.DUMMYFUNCTION("IMPORTRANGE(""https://docs.google.com/spreadsheets/d/1SX6NBoVAgQJ6U1MVXOaj8PK2l7WJ3RER9xtqwdhxkhw/edit?usp=sharing"",""ชลบุรี!J273"")"),0)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IFERROR(__xludf.DUMMYFUNCTION("IMPORTRANGE(""https://docs.google.com/spreadsheets/d/1SX6NBoVAgQJ6U1MVXOaj8PK2l7WJ3RER9xtqwdhxkhw/edit?usp=sharing"",""ชลบุรี!J274"")"),0)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IFERROR(__xludf.DUMMYFUNCTION("IMPORTRANGE(""https://docs.google.com/spreadsheets/d/1SX6NBoVAgQJ6U1MVXOaj8PK2l7WJ3RER9xtqwdhxkhw/edit?usp=sharing"",""ชลบุรี!M275"")"),52863)</f>
        <v>52863</v>
      </c>
      <c r="O380" s="373">
        <f ca="1">+IF(L380&gt;0,N380*100/L380,0)</f>
        <v>11.488460033902726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IFERROR(__xludf.DUMMYFUNCTION("IMPORTRANGE(""https://docs.google.com/spreadsheets/d/1SX6NBoVAgQJ6U1MVXOaj8PK2l7WJ3RER9xtqwdhxkhw/edit?usp=sharing"",""ชลบุรี!L277"")"),0)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IFERROR(__xludf.DUMMYFUNCTION("IMPORTRANGE(""https://docs.google.com/spreadsheets/d/1SX6NBoVAgQJ6U1MVXOaj8PK2l7WJ3RER9xtqwdhxkhw/edit?usp=sharing"",""ชลบุรี!M277"")"),0)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IFERROR(__xludf.DUMMYFUNCTION("IMPORTRANGE(""https://docs.google.com/spreadsheets/d/1SX6NBoVAgQJ6U1MVXOaj8PK2l7WJ3RER9xtqwdhxkhw/edit?usp=sharing"",""ชลบุรี!L278"")"),460140)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IFERROR(__xludf.DUMMYFUNCTION("IMPORTRANGE(""https://docs.google.com/spreadsheets/d/1SX6NBoVAgQJ6U1MVXOaj8PK2l7WJ3RER9xtqwdhxkhw/edit?usp=sharing"",""ชลบุรี!M278"")"),52863)</f>
        <v>52863</v>
      </c>
      <c r="O383" s="165">
        <f t="shared" ca="1" si="109"/>
        <v>11.488460033902726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IFERROR(__xludf.DUMMYFUNCTION("IMPORTRANGE(""https://docs.google.com/spreadsheets/d/1SX6NBoVAgQJ6U1MVXOaj8PK2l7WJ3RER9xtqwdhxkhw/edit?usp=sharing"",""ชลบุรี!L279"")"),0)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IFERROR(__xludf.DUMMYFUNCTION("IMPORTRANGE(""https://docs.google.com/spreadsheets/d/1SX6NBoVAgQJ6U1MVXOaj8PK2l7WJ3RER9xtqwdhxkhw/edit?usp=sharing"",""ชลบุรี!M279"")"),0)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IFERROR(__xludf.DUMMYFUNCTION("IMPORTRANGE(""https://docs.google.com/spreadsheets/d/1SX6NBoVAgQJ6U1MVXOaj8PK2l7WJ3RER9xtqwdhxkhw/edit?usp=sharing"",""ชลบุรี!L280"")"),460140)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IFERROR(__xludf.DUMMYFUNCTION("IMPORTRANGE(""https://docs.google.com/spreadsheets/d/1SX6NBoVAgQJ6U1MVXOaj8PK2l7WJ3RER9xtqwdhxkhw/edit?usp=sharing"",""ชลบุรี!M280"")"),52863)</f>
        <v>52863</v>
      </c>
      <c r="O385" s="169">
        <f t="shared" ca="1" si="109"/>
        <v>11.488460033902726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IFERROR(__xludf.DUMMYFUNCTION("IMPORTRANGE(""https://docs.google.com/spreadsheets/d/1SX6NBoVAgQJ6U1MVXOaj8PK2l7WJ3RER9xtqwdhxkhw/edit?usp=sharing"",""ชลบุรี!M281"")"),37720)</f>
        <v>37720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IFERROR(__xludf.DUMMYFUNCTION("IMPORTRANGE(""https://docs.google.com/spreadsheets/d/1SX6NBoVAgQJ6U1MVXOaj8PK2l7WJ3RER9xtqwdhxkhw/edit?usp=sharing"",""ชลบุรี!M284"")"),15143)</f>
        <v>15143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IFERROR(__xludf.DUMMYFUNCTION("IMPORTRANGE(""https://docs.google.com/spreadsheets/d/1SX6NBoVAgQJ6U1MVXOaj8PK2l7WJ3RER9xtqwdhxkhw/edit?usp=sharing"",""ชลบุรี!J286"")"),0)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IFERROR(__xludf.DUMMYFUNCTION("IMPORTRANGE(""https://docs.google.com/spreadsheets/d/1SX6NBoVAgQJ6U1MVXOaj8PK2l7WJ3RER9xtqwdhxkhw/edit?usp=sharing"",""ชลบุรี!J287"")"),1)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IFERROR(__xludf.DUMMYFUNCTION("IMPORTRANGE(""https://docs.google.com/spreadsheets/d/1SX6NBoVAgQJ6U1MVXOaj8PK2l7WJ3RER9xtqwdhxkhw/edit?usp=sharing"",""ชลบุรี!J288"")"),1)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IFERROR(__xludf.DUMMYFUNCTION("IMPORTRANGE(""https://docs.google.com/spreadsheets/d/1SX6NBoVAgQJ6U1MVXOaj8PK2l7WJ3RER9xtqwdhxkhw/edit?usp=sharing"",""ชลบุรี!J289"")"),1)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IFERROR(__xludf.DUMMYFUNCTION("IMPORTRANGE(""https://docs.google.com/spreadsheets/d/1SX6NBoVAgQJ6U1MVXOaj8PK2l7WJ3RER9xtqwdhxkhw/edit?usp=sharing"",""ชลบุรี!I291"")"),50)</f>
        <v>50</v>
      </c>
      <c r="J396" s="198">
        <f ca="1">IFERROR(__xludf.DUMMYFUNCTION("IMPORTRANGE(""https://docs.google.com/spreadsheets/d/1SX6NBoVAgQJ6U1MVXOaj8PK2l7WJ3RER9xtqwdhxkhw/edit?usp=sharing"",""ชลบุรี!J291"")"),50)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IFERROR(__xludf.DUMMYFUNCTION("IMPORTRANGE(""https://docs.google.com/spreadsheets/d/1SX6NBoVAgQJ6U1MVXOaj8PK2l7WJ3RER9xtqwdhxkhw/edit?usp=sharing"",""ชลบุรี!I292"")"),500)</f>
        <v>500</v>
      </c>
      <c r="J397" s="198">
        <f ca="1">IFERROR(__xludf.DUMMYFUNCTION("IMPORTRANGE(""https://docs.google.com/spreadsheets/d/1SX6NBoVAgQJ6U1MVXOaj8PK2l7WJ3RER9xtqwdhxkhw/edit?usp=sharing"",""ชลบุรี!J292"")"),0)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IFERROR(__xludf.DUMMYFUNCTION("IMPORTRANGE(""https://docs.google.com/spreadsheets/d/1SX6NBoVAgQJ6U1MVXOaj8PK2l7WJ3RER9xtqwdhxkhw/edit?usp=sharing"",""ชลบุรี!I293"")"),50)</f>
        <v>50</v>
      </c>
      <c r="J398" s="198">
        <f ca="1">IFERROR(__xludf.DUMMYFUNCTION("IMPORTRANGE(""https://docs.google.com/spreadsheets/d/1SX6NBoVAgQJ6U1MVXOaj8PK2l7WJ3RER9xtqwdhxkhw/edit?usp=sharing"",""ชลบุรี!J293"")"),0)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IFERROR(__xludf.DUMMYFUNCTION("IMPORTRANGE(""https://docs.google.com/spreadsheets/d/1SX6NBoVAgQJ6U1MVXOaj8PK2l7WJ3RER9xtqwdhxkhw/edit?usp=sharing"",""ชลบุรี!J294"")"),0)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IFERROR(__xludf.DUMMYFUNCTION("IMPORTRANGE(""https://docs.google.com/spreadsheets/d/1SX6NBoVAgQJ6U1MVXOaj8PK2l7WJ3RER9xtqwdhxkhw/edit?usp=sharing"",""ชลบุรี!J295"")"),0)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IFERROR(__xludf.DUMMYFUNCTION("IMPORTRANGE(""https://docs.google.com/spreadsheets/d/1SX6NBoVAgQJ6U1MVXOaj8PK2l7WJ3RER9xtqwdhxkhw/edit?usp=sharing"",""ชลบุรี!M296"")"),25509)</f>
        <v>25509</v>
      </c>
      <c r="O401" s="373">
        <f ca="1">+IF(L401&gt;0,N401*100/L401,0)</f>
        <v>25.028453689167975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IFERROR(__xludf.DUMMYFUNCTION("IMPORTRANGE(""https://docs.google.com/spreadsheets/d/1SX6NBoVAgQJ6U1MVXOaj8PK2l7WJ3RER9xtqwdhxkhw/edit?usp=sharing"",""ชลบุรี!L298"")"),0)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IFERROR(__xludf.DUMMYFUNCTION("IMPORTRANGE(""https://docs.google.com/spreadsheets/d/1SX6NBoVAgQJ6U1MVXOaj8PK2l7WJ3RER9xtqwdhxkhw/edit?usp=sharing"",""ชลบุรี!M298"")"),0)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IFERROR(__xludf.DUMMYFUNCTION("IMPORTRANGE(""https://docs.google.com/spreadsheets/d/1SX6NBoVAgQJ6U1MVXOaj8PK2l7WJ3RER9xtqwdhxkhw/edit?usp=sharing"",""ชลบุรี!L299"")"),101920)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IFERROR(__xludf.DUMMYFUNCTION("IMPORTRANGE(""https://docs.google.com/spreadsheets/d/1SX6NBoVAgQJ6U1MVXOaj8PK2l7WJ3RER9xtqwdhxkhw/edit?usp=sharing"",""ชลบุรี!M299"")"),25509)</f>
        <v>25509</v>
      </c>
      <c r="O404" s="169">
        <f t="shared" ca="1" si="112"/>
        <v>25.028453689167975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IFERROR(__xludf.DUMMYFUNCTION("IMPORTRANGE(""https://docs.google.com/spreadsheets/d/1SX6NBoVAgQJ6U1MVXOaj8PK2l7WJ3RER9xtqwdhxkhw/edit?usp=sharing"",""ชลบุรี!L300"")"),0)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IFERROR(__xludf.DUMMYFUNCTION("IMPORTRANGE(""https://docs.google.com/spreadsheets/d/1SX6NBoVAgQJ6U1MVXOaj8PK2l7WJ3RER9xtqwdhxkhw/edit?usp=sharing"",""ชลบุรี!M300"")"),0)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IFERROR(__xludf.DUMMYFUNCTION("IMPORTRANGE(""https://docs.google.com/spreadsheets/d/1SX6NBoVAgQJ6U1MVXOaj8PK2l7WJ3RER9xtqwdhxkhw/edit?usp=sharing"",""ชลบุรี!L301"")"),101920)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IFERROR(__xludf.DUMMYFUNCTION("IMPORTRANGE(""https://docs.google.com/spreadsheets/d/1SX6NBoVAgQJ6U1MVXOaj8PK2l7WJ3RER9xtqwdhxkhw/edit?usp=sharing"",""ชลบุรี!M301"")"),25509)</f>
        <v>25509</v>
      </c>
      <c r="O406" s="169">
        <f t="shared" ca="1" si="112"/>
        <v>25.028453689167975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IFERROR(__xludf.DUMMYFUNCTION("IMPORTRANGE(""https://docs.google.com/spreadsheets/d/1SX6NBoVAgQJ6U1MVXOaj8PK2l7WJ3RER9xtqwdhxkhw/edit?usp=sharing"",""ชลบุรี!M303"")"),0)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IFERROR(__xludf.DUMMYFUNCTION("IMPORTRANGE(""https://docs.google.com/spreadsheets/d/1SX6NBoVAgQJ6U1MVXOaj8PK2l7WJ3RER9xtqwdhxkhw/edit?usp=sharing"",""ชลบุรี!M305"")"),5980)</f>
        <v>5980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IFERROR(__xludf.DUMMYFUNCTION("IMPORTRANGE(""https://docs.google.com/spreadsheets/d/1SX6NBoVAgQJ6U1MVXOaj8PK2l7WJ3RER9xtqwdhxkhw/edit?usp=sharing"",""ชลบุรี!J307"")"),0)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IFERROR(__xludf.DUMMYFUNCTION("IMPORTRANGE(""https://docs.google.com/spreadsheets/d/1SX6NBoVAgQJ6U1MVXOaj8PK2l7WJ3RER9xtqwdhxkhw/edit?usp=sharing"",""ชลบุรี!J308"")"),1)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IFERROR(__xludf.DUMMYFUNCTION("IMPORTRANGE(""https://docs.google.com/spreadsheets/d/1SX6NBoVAgQJ6U1MVXOaj8PK2l7WJ3RER9xtqwdhxkhw/edit?usp=sharing"",""ชลบุรี!J309"")"),1)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IFERROR(__xludf.DUMMYFUNCTION("IMPORTRANGE(""https://docs.google.com/spreadsheets/d/1SX6NBoVAgQJ6U1MVXOaj8PK2l7WJ3RER9xtqwdhxkhw/edit?usp=sharing"",""ชลบุรี!J310"")"),1)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IFERROR(__xludf.DUMMYFUNCTION("IMPORTRANGE(""https://docs.google.com/spreadsheets/d/1SX6NBoVAgQJ6U1MVXOaj8PK2l7WJ3RER9xtqwdhxkhw/edit?usp=sharing"",""ชลบุรี!I311"")"),30)</f>
        <v>30</v>
      </c>
      <c r="J416" s="201">
        <f ca="1">IFERROR(__xludf.DUMMYFUNCTION("IMPORTRANGE(""https://docs.google.com/spreadsheets/d/1SX6NBoVAgQJ6U1MVXOaj8PK2l7WJ3RER9xtqwdhxkhw/edit?usp=sharing"",""ชลบุรี!J311"")"),30)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IFERROR(__xludf.DUMMYFUNCTION("IMPORTRANGE(""https://docs.google.com/spreadsheets/d/1SX6NBoVAgQJ6U1MVXOaj8PK2l7WJ3RER9xtqwdhxkhw/edit?usp=sharing"",""ชลบุรี!J328"")"),0)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IFERROR(__xludf.DUMMYFUNCTION("IMPORTRANGE(""https://docs.google.com/spreadsheets/d/1SX6NBoVAgQJ6U1MVXOaj8PK2l7WJ3RER9xtqwdhxkhw/edit?usp=sharing"",""ชลบุรี!J329"")"),0)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IFERROR(__xludf.DUMMYFUNCTION("IMPORTRANGE(""https://docs.google.com/spreadsheets/d/1SX6NBoVAgQJ6U1MVXOaj8PK2l7WJ3RER9xtqwdhxkhw/edit?usp=sharing"",""ชลบุรี!M330"")"),72506.89)</f>
        <v>72506.89</v>
      </c>
      <c r="O435" s="412">
        <f t="shared" ref="O435:O439" ca="1" si="114">+IF(L435&gt;0,N435*100/L435,0)</f>
        <v>82.394193181818181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IFERROR(__xludf.DUMMYFUNCTION("IMPORTRANGE(""https://docs.google.com/spreadsheets/d/1SX6NBoVAgQJ6U1MVXOaj8PK2l7WJ3RER9xtqwdhxkhw/edit?usp=sharing"",""ชลบุรี!L331"")"),0)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IFERROR(__xludf.DUMMYFUNCTION("IMPORTRANGE(""https://docs.google.com/spreadsheets/d/1SX6NBoVAgQJ6U1MVXOaj8PK2l7WJ3RER9xtqwdhxkhw/edit?usp=sharing"",""ชลบุรี!M331"")"),0)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IFERROR(__xludf.DUMMYFUNCTION("IMPORTRANGE(""https://docs.google.com/spreadsheets/d/1SX6NBoVAgQJ6U1MVXOaj8PK2l7WJ3RER9xtqwdhxkhw/edit?usp=sharing"",""ชลบุรี!L332"")"),88000)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IFERROR(__xludf.DUMMYFUNCTION("IMPORTRANGE(""https://docs.google.com/spreadsheets/d/1SX6NBoVAgQJ6U1MVXOaj8PK2l7WJ3RER9xtqwdhxkhw/edit?usp=sharing"",""ชลบุรี!M332"")"),72506.89)</f>
        <v>72506.89</v>
      </c>
      <c r="O437" s="169">
        <f t="shared" ca="1" si="114"/>
        <v>82.394193181818181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IFERROR(__xludf.DUMMYFUNCTION("IMPORTRANGE(""https://docs.google.com/spreadsheets/d/1SX6NBoVAgQJ6U1MVXOaj8PK2l7WJ3RER9xtqwdhxkhw/edit?usp=sharing"",""ชลบุรี!L333"")"),0)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IFERROR(__xludf.DUMMYFUNCTION("IMPORTRANGE(""https://docs.google.com/spreadsheets/d/1SX6NBoVAgQJ6U1MVXOaj8PK2l7WJ3RER9xtqwdhxkhw/edit?usp=sharing"",""ชลบุรี!M333"")"),0)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IFERROR(__xludf.DUMMYFUNCTION("IMPORTRANGE(""https://docs.google.com/spreadsheets/d/1SX6NBoVAgQJ6U1MVXOaj8PK2l7WJ3RER9xtqwdhxkhw/edit?usp=sharing"",""ชลบุรี!L334"")"),88000)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IFERROR(__xludf.DUMMYFUNCTION("IMPORTRANGE(""https://docs.google.com/spreadsheets/d/1SX6NBoVAgQJ6U1MVXOaj8PK2l7WJ3RER9xtqwdhxkhw/edit?usp=sharing"",""ชลบุรี!M334"")"),72506.89)</f>
        <v>72506.89</v>
      </c>
      <c r="O439" s="169">
        <f t="shared" ca="1" si="114"/>
        <v>82.394193181818181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IFERROR(__xludf.DUMMYFUNCTION("IMPORTRANGE(""https://docs.google.com/spreadsheets/d/1SX6NBoVAgQJ6U1MVXOaj8PK2l7WJ3RER9xtqwdhxkhw/edit?usp=sharing"",""ชลบุรี!M335"")"),64599)</f>
        <v>64599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IFERROR(__xludf.DUMMYFUNCTION("IMPORTRANGE(""https://docs.google.com/spreadsheets/d/1SX6NBoVAgQJ6U1MVXOaj8PK2l7WJ3RER9xtqwdhxkhw/edit?usp=sharing"",""ชลบุรี!M338"")"),7907.89)</f>
        <v>7907.89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IFERROR(__xludf.DUMMYFUNCTION("IMPORTRANGE(""https://docs.google.com/spreadsheets/d/1SX6NBoVAgQJ6U1MVXOaj8PK2l7WJ3RER9xtqwdhxkhw/edit?usp=sharing"",""ชลบุรี!J340"")"),0)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IFERROR(__xludf.DUMMYFUNCTION("IMPORTRANGE(""https://docs.google.com/spreadsheets/d/1SX6NBoVAgQJ6U1MVXOaj8PK2l7WJ3RER9xtqwdhxkhw/edit?usp=sharing"",""ชลบุรี!J342"")"),1)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IFERROR(__xludf.DUMMYFUNCTION("IMPORTRANGE(""https://docs.google.com/spreadsheets/d/1SX6NBoVAgQJ6U1MVXOaj8PK2l7WJ3RER9xtqwdhxkhw/edit?usp=sharing"",""ชลบุรี!J343"")"),1)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1">
        <f ca="1">IFERROR(__xludf.DUMMYFUNCTION("IMPORTRANGE(""https://docs.google.com/spreadsheets/d/1SX6NBoVAgQJ6U1MVXOaj8PK2l7WJ3RER9xtqwdhxkhw/edit?usp=sharing"",""ชลบุรี!J344"")"),15)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IFERROR(__xludf.DUMMYFUNCTION("IMPORTRANGE(""https://docs.google.com/spreadsheets/d/1SX6NBoVAgQJ6U1MVXOaj8PK2l7WJ3RER9xtqwdhxkhw/edit?usp=sharing"",""ชลบุรี!I345"")"),15)</f>
        <v>15</v>
      </c>
      <c r="J450" s="189">
        <f ca="1">IFERROR(__xludf.DUMMYFUNCTION("IMPORTRANGE(""https://docs.google.com/spreadsheets/d/1SX6NBoVAgQJ6U1MVXOaj8PK2l7WJ3RER9xtqwdhxkhw/edit?usp=sharing"",""ชลบุรี!J345"")"),15)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IFERROR(__xludf.DUMMYFUNCTION("IMPORTRANGE(""https://docs.google.com/spreadsheets/d/1SX6NBoVAgQJ6U1MVXOaj8PK2l7WJ3RER9xtqwdhxkhw/edit?usp=sharing"",""ชลบุรี!I346"")"),0)</f>
        <v>0</v>
      </c>
      <c r="J451" s="188">
        <f ca="1">IFERROR(__xludf.DUMMYFUNCTION("IMPORTRANGE(""https://docs.google.com/spreadsheets/d/1SX6NBoVAgQJ6U1MVXOaj8PK2l7WJ3RER9xtqwdhxkhw/edit?usp=sharing"",""ชลบุรี!J346"")"),0)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IFERROR(__xludf.DUMMYFUNCTION("IMPORTRANGE(""https://docs.google.com/spreadsheets/d/1SX6NBoVAgQJ6U1MVXOaj8PK2l7WJ3RER9xtqwdhxkhw/edit?usp=sharing"",""ชลบุรี!I347"")"),0)</f>
        <v>0</v>
      </c>
      <c r="J452" s="188">
        <f ca="1">IFERROR(__xludf.DUMMYFUNCTION("IMPORTRANGE(""https://docs.google.com/spreadsheets/d/1SX6NBoVAgQJ6U1MVXOaj8PK2l7WJ3RER9xtqwdhxkhw/edit?usp=sharing"",""ชลบุรี!J347"")"),0)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IFERROR(__xludf.DUMMYFUNCTION("IMPORTRANGE(""https://docs.google.com/spreadsheets/d/1SX6NBoVAgQJ6U1MVXOaj8PK2l7WJ3RER9xtqwdhxkhw/edit?usp=sharing"",""ชลบุรี!J348"")"),0)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IFERROR(__xludf.DUMMYFUNCTION("IMPORTRANGE(""https://docs.google.com/spreadsheets/d/1SX6NBoVAgQJ6U1MVXOaj8PK2l7WJ3RER9xtqwdhxkhw/edit?usp=sharing"",""ชลบุรี!J349"")"),0)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IFERROR(__xludf.DUMMYFUNCTION("IMPORTRANGE(""https://docs.google.com/spreadsheets/d/1SX6NBoVAgQJ6U1MVXOaj8PK2l7WJ3RER9xtqwdhxkhw/edit?usp=sharing"",""ชลบุรี!J350"")"),62571.45)</f>
        <v>62571.45</v>
      </c>
      <c r="K455" s="372">
        <f ca="1">IF(I455&gt;0,J455*100/I455,0)</f>
        <v>88.081660519721837</v>
      </c>
      <c r="L455" s="373">
        <f ca="1">IFERROR(__xludf.DUMMYFUNCTION("IMPORTRANGE(""https://docs.google.com/spreadsheets/d/1SX6NBoVAgQJ6U1MVXOaj8PK2l7WJ3RER9xtqwdhxkhw/edit?usp=sharing"",""ชลบุรี!L350"")"),593545)</f>
        <v>593545</v>
      </c>
      <c r="M455" s="373"/>
      <c r="N455" s="373">
        <f ca="1">IFERROR(__xludf.DUMMYFUNCTION("IMPORTRANGE(""https://docs.google.com/spreadsheets/d/1SX6NBoVAgQJ6U1MVXOaj8PK2l7WJ3RER9xtqwdhxkhw/edit?usp=sharing"",""ชลบุรี!M350"")"),78428)</f>
        <v>78428</v>
      </c>
      <c r="O455" s="373">
        <f t="shared" ref="O455:O459" ca="1" si="116">+IF(L455&gt;0,N455*100/L455,0)</f>
        <v>13.213488446537331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IFERROR(__xludf.DUMMYFUNCTION("IMPORTRANGE(""https://docs.google.com/spreadsheets/d/1SX6NBoVAgQJ6U1MVXOaj8PK2l7WJ3RER9xtqwdhxkhw/edit?usp=sharing"",""ชลบุรี!L351"")"),0)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IFERROR(__xludf.DUMMYFUNCTION("IMPORTRANGE(""https://docs.google.com/spreadsheets/d/1SX6NBoVAgQJ6U1MVXOaj8PK2l7WJ3RER9xtqwdhxkhw/edit?usp=sharing"",""ชลบุรี!M351"")"),0)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IFERROR(__xludf.DUMMYFUNCTION("IMPORTRANGE(""https://docs.google.com/spreadsheets/d/1SX6NBoVAgQJ6U1MVXOaj8PK2l7WJ3RER9xtqwdhxkhw/edit?usp=sharing"",""ชลบุรี!L352"")"),593545)</f>
        <v>593545</v>
      </c>
      <c r="M457" s="165"/>
      <c r="N457" s="169">
        <f ca="1">IFERROR(__xludf.DUMMYFUNCTION("IMPORTRANGE(""https://docs.google.com/spreadsheets/d/1SX6NBoVAgQJ6U1MVXOaj8PK2l7WJ3RER9xtqwdhxkhw/edit?usp=sharing"",""ชลบุรี!M352"")"),78428)</f>
        <v>78428</v>
      </c>
      <c r="O457" s="169">
        <f t="shared" ca="1" si="116"/>
        <v>13.213488446537331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IFERROR(__xludf.DUMMYFUNCTION("IMPORTRANGE(""https://docs.google.com/spreadsheets/d/1SX6NBoVAgQJ6U1MVXOaj8PK2l7WJ3RER9xtqwdhxkhw/edit?usp=sharing"",""ชลบุรี!L353"")"),0)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IFERROR(__xludf.DUMMYFUNCTION("IMPORTRANGE(""https://docs.google.com/spreadsheets/d/1SX6NBoVAgQJ6U1MVXOaj8PK2l7WJ3RER9xtqwdhxkhw/edit?usp=sharing"",""ชลบุรี!M353"")"),0)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IFERROR(__xludf.DUMMYFUNCTION("IMPORTRANGE(""https://docs.google.com/spreadsheets/d/1SX6NBoVAgQJ6U1MVXOaj8PK2l7WJ3RER9xtqwdhxkhw/edit?usp=sharing"",""ชลบุรี!L354"")"),593545)</f>
        <v>593545</v>
      </c>
      <c r="M459" s="169"/>
      <c r="N459" s="169">
        <f ca="1">IFERROR(__xludf.DUMMYFUNCTION("IMPORTRANGE(""https://docs.google.com/spreadsheets/d/1SX6NBoVAgQJ6U1MVXOaj8PK2l7WJ3RER9xtqwdhxkhw/edit?usp=sharing"",""ชลบุรี!M354"")"),78428)</f>
        <v>78428</v>
      </c>
      <c r="O459" s="169">
        <f t="shared" ca="1" si="116"/>
        <v>13.213488446537331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IFERROR(__xludf.DUMMYFUNCTION("IMPORTRANGE(""https://docs.google.com/spreadsheets/d/1SX6NBoVAgQJ6U1MVXOaj8PK2l7WJ3RER9xtqwdhxkhw/edit?usp=sharing"",""ชลบุรี!M355"")"),0)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IFERROR(__xludf.DUMMYFUNCTION("IMPORTRANGE(""https://docs.google.com/spreadsheets/d/1SX6NBoVAgQJ6U1MVXOaj8PK2l7WJ3RER9xtqwdhxkhw/edit?usp=sharing"",""ชลบุรี!M356"")"),0)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IFERROR(__xludf.DUMMYFUNCTION("IMPORTRANGE(""https://docs.google.com/spreadsheets/d/1SX6NBoVAgQJ6U1MVXOaj8PK2l7WJ3RER9xtqwdhxkhw/edit?usp=sharing"",""ชลบุรี!M357"")"),44000)</f>
        <v>44000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IFERROR(__xludf.DUMMYFUNCTION("IMPORTRANGE(""https://docs.google.com/spreadsheets/d/1SX6NBoVAgQJ6U1MVXOaj8PK2l7WJ3RER9xtqwdhxkhw/edit?usp=sharing"",""ชลบุรี!M358"")"),34428)</f>
        <v>34428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IFERROR(__xludf.DUMMYFUNCTION("IMPORTRANGE(""https://docs.google.com/spreadsheets/d/1SX6NBoVAgQJ6U1MVXOaj8PK2l7WJ3RER9xtqwdhxkhw/edit?usp=sharing"",""ชลบุรี!I359"")"),71038)</f>
        <v>71038</v>
      </c>
      <c r="J464" s="268">
        <f ca="1">IFERROR(__xludf.DUMMYFUNCTION("IMPORTRANGE(""https://docs.google.com/spreadsheets/d/1SX6NBoVAgQJ6U1MVXOaj8PK2l7WJ3RER9xtqwdhxkhw/edit?usp=sharing"",""ชลบุรี!J359"")"),62571.45)</f>
        <v>62571.45</v>
      </c>
      <c r="K464" s="269">
        <f t="shared" ref="K464:K515" ca="1" si="117">IF(I464&gt;0,J464*100/I464,0)</f>
        <v>88.081660519721837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IFERROR(__xludf.DUMMYFUNCTION("IMPORTRANGE(""https://docs.google.com/spreadsheets/d/1SX6NBoVAgQJ6U1MVXOaj8PK2l7WJ3RER9xtqwdhxkhw/edit?usp=sharing"",""ชลบุรี!J360"")"),71037.45)</f>
        <v>71037.45</v>
      </c>
      <c r="K465" s="202">
        <f t="shared" ca="1" si="117"/>
        <v>99.999225766491179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IFERROR(__xludf.DUMMYFUNCTION("IMPORTRANGE(""https://docs.google.com/spreadsheets/d/1SX6NBoVAgQJ6U1MVXOaj8PK2l7WJ3RER9xtqwdhxkhw/edit?usp=sharing"",""ชลบุรี!J361"")"),5288)</f>
        <v>5288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IFERROR(__xludf.DUMMYFUNCTION("IMPORTRANGE(""https://docs.google.com/spreadsheets/d/1SX6NBoVAgQJ6U1MVXOaj8PK2l7WJ3RER9xtqwdhxkhw/edit?usp=sharing"",""ชลบุรี!I362"")"),0)</f>
        <v>0</v>
      </c>
      <c r="J467" s="189">
        <f ca="1">IFERROR(__xludf.DUMMYFUNCTION("IMPORTRANGE(""https://docs.google.com/spreadsheets/d/1SX6NBoVAgQJ6U1MVXOaj8PK2l7WJ3RER9xtqwdhxkhw/edit?usp=sharing"",""ชลบุรี!J362"")"),62571.45)</f>
        <v>62571.45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IFERROR(__xludf.DUMMYFUNCTION("IMPORTRANGE(""https://docs.google.com/spreadsheets/d/1SX6NBoVAgQJ6U1MVXOaj8PK2l7WJ3RER9xtqwdhxkhw/edit?usp=sharing"",""ชลบุรี!I363"")"),0)</f>
        <v>0</v>
      </c>
      <c r="J468" s="189">
        <f ca="1">IFERROR(__xludf.DUMMYFUNCTION("IMPORTRANGE(""https://docs.google.com/spreadsheets/d/1SX6NBoVAgQJ6U1MVXOaj8PK2l7WJ3RER9xtqwdhxkhw/edit?usp=sharing"",""ชลบุรี!J363"")"),4769)</f>
        <v>4769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IFERROR(__xludf.DUMMYFUNCTION("IMPORTRANGE(""https://docs.google.com/spreadsheets/d/1SX6NBoVAgQJ6U1MVXOaj8PK2l7WJ3RER9xtqwdhxkhw/edit?usp=sharing"",""ชลบุรี!I364"")"),0)</f>
        <v>0</v>
      </c>
      <c r="J469" s="189">
        <f ca="1">IFERROR(__xludf.DUMMYFUNCTION("IMPORTRANGE(""https://docs.google.com/spreadsheets/d/1SX6NBoVAgQJ6U1MVXOaj8PK2l7WJ3RER9xtqwdhxkhw/edit?usp=sharing"",""ชลบุรี!J364"")"),7888)</f>
        <v>7888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IFERROR(__xludf.DUMMYFUNCTION("IMPORTRANGE(""https://docs.google.com/spreadsheets/d/1SX6NBoVAgQJ6U1MVXOaj8PK2l7WJ3RER9xtqwdhxkhw/edit?usp=sharing"",""ชลบุรี!I365"")"),0)</f>
        <v>0</v>
      </c>
      <c r="J470" s="189">
        <f ca="1">IFERROR(__xludf.DUMMYFUNCTION("IMPORTRANGE(""https://docs.google.com/spreadsheets/d/1SX6NBoVAgQJ6U1MVXOaj8PK2l7WJ3RER9xtqwdhxkhw/edit?usp=sharing"",""ชลบุรี!J365"")"),468)</f>
        <v>468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IFERROR(__xludf.DUMMYFUNCTION("IMPORTRANGE(""https://docs.google.com/spreadsheets/d/1SX6NBoVAgQJ6U1MVXOaj8PK2l7WJ3RER9xtqwdhxkhw/edit?usp=sharing"",""ชลบุรี!I366"")"),0)</f>
        <v>0</v>
      </c>
      <c r="J471" s="189">
        <f ca="1">IFERROR(__xludf.DUMMYFUNCTION("IMPORTRANGE(""https://docs.google.com/spreadsheets/d/1SX6NBoVAgQJ6U1MVXOaj8PK2l7WJ3RER9xtqwdhxkhw/edit?usp=sharing"",""ชลบุรี!J366"")"),578)</f>
        <v>578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IFERROR(__xludf.DUMMYFUNCTION("IMPORTRANGE(""https://docs.google.com/spreadsheets/d/1SX6NBoVAgQJ6U1MVXOaj8PK2l7WJ3RER9xtqwdhxkhw/edit?usp=sharing"",""ชลบุรี!I367"")"),0)</f>
        <v>0</v>
      </c>
      <c r="J472" s="189">
        <f ca="1">IFERROR(__xludf.DUMMYFUNCTION("IMPORTRANGE(""https://docs.google.com/spreadsheets/d/1SX6NBoVAgQJ6U1MVXOaj8PK2l7WJ3RER9xtqwdhxkhw/edit?usp=sharing"",""ชลบุรี!J367"")"),51)</f>
        <v>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IFERROR(__xludf.DUMMYFUNCTION("IMPORTRANGE(""https://docs.google.com/spreadsheets/d/1SX6NBoVAgQJ6U1MVXOaj8PK2l7WJ3RER9xtqwdhxkhw/edit?usp=sharing"",""ชลบุรี!J368"")"),71037.45)</f>
        <v>71037.45</v>
      </c>
      <c r="K473" s="202">
        <f t="shared" ca="1" si="117"/>
        <v>99.999225766491179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IFERROR(__xludf.DUMMYFUNCTION("IMPORTRANGE(""https://docs.google.com/spreadsheets/d/1SX6NBoVAgQJ6U1MVXOaj8PK2l7WJ3RER9xtqwdhxkhw/edit?usp=sharing"",""ชลบุรี!J369"")"),5288)</f>
        <v>5288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IFERROR(__xludf.DUMMYFUNCTION("IMPORTRANGE(""https://docs.google.com/spreadsheets/d/1SX6NBoVAgQJ6U1MVXOaj8PK2l7WJ3RER9xtqwdhxkhw/edit?usp=sharing"",""ชลบุรี!I370"")"),0)</f>
        <v>0</v>
      </c>
      <c r="J475" s="189">
        <f ca="1">IFERROR(__xludf.DUMMYFUNCTION("IMPORTRANGE(""https://docs.google.com/spreadsheets/d/1SX6NBoVAgQJ6U1MVXOaj8PK2l7WJ3RER9xtqwdhxkhw/edit?usp=sharing"",""ชลบุรี!J370"")"),62571.45)</f>
        <v>62571.45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IFERROR(__xludf.DUMMYFUNCTION("IMPORTRANGE(""https://docs.google.com/spreadsheets/d/1SX6NBoVAgQJ6U1MVXOaj8PK2l7WJ3RER9xtqwdhxkhw/edit?usp=sharing"",""ชลบุรี!I371"")"),0)</f>
        <v>0</v>
      </c>
      <c r="J476" s="189">
        <f ca="1">IFERROR(__xludf.DUMMYFUNCTION("IMPORTRANGE(""https://docs.google.com/spreadsheets/d/1SX6NBoVAgQJ6U1MVXOaj8PK2l7WJ3RER9xtqwdhxkhw/edit?usp=sharing"",""ชลบุรี!J371"")"),4769)</f>
        <v>4769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IFERROR(__xludf.DUMMYFUNCTION("IMPORTRANGE(""https://docs.google.com/spreadsheets/d/1SX6NBoVAgQJ6U1MVXOaj8PK2l7WJ3RER9xtqwdhxkhw/edit?usp=sharing"",""ชลบุรี!I372"")"),0)</f>
        <v>0</v>
      </c>
      <c r="J477" s="189">
        <f ca="1">IFERROR(__xludf.DUMMYFUNCTION("IMPORTRANGE(""https://docs.google.com/spreadsheets/d/1SX6NBoVAgQJ6U1MVXOaj8PK2l7WJ3RER9xtqwdhxkhw/edit?usp=sharing"",""ชลบุรี!J372"")"),7888)</f>
        <v>7888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IFERROR(__xludf.DUMMYFUNCTION("IMPORTRANGE(""https://docs.google.com/spreadsheets/d/1SX6NBoVAgQJ6U1MVXOaj8PK2l7WJ3RER9xtqwdhxkhw/edit?usp=sharing"",""ชลบุรี!I373"")"),0)</f>
        <v>0</v>
      </c>
      <c r="J478" s="189">
        <f ca="1">IFERROR(__xludf.DUMMYFUNCTION("IMPORTRANGE(""https://docs.google.com/spreadsheets/d/1SX6NBoVAgQJ6U1MVXOaj8PK2l7WJ3RER9xtqwdhxkhw/edit?usp=sharing"",""ชลบุรี!J373"")"),468)</f>
        <v>468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IFERROR(__xludf.DUMMYFUNCTION("IMPORTRANGE(""https://docs.google.com/spreadsheets/d/1SX6NBoVAgQJ6U1MVXOaj8PK2l7WJ3RER9xtqwdhxkhw/edit?usp=sharing"",""ชลบุรี!I374"")"),0)</f>
        <v>0</v>
      </c>
      <c r="J479" s="189">
        <f ca="1">IFERROR(__xludf.DUMMYFUNCTION("IMPORTRANGE(""https://docs.google.com/spreadsheets/d/1SX6NBoVAgQJ6U1MVXOaj8PK2l7WJ3RER9xtqwdhxkhw/edit?usp=sharing"",""ชลบุรี!J374"")"),578)</f>
        <v>578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IFERROR(__xludf.DUMMYFUNCTION("IMPORTRANGE(""https://docs.google.com/spreadsheets/d/1SX6NBoVAgQJ6U1MVXOaj8PK2l7WJ3RER9xtqwdhxkhw/edit?usp=sharing"",""ชลบุรี!I375"")"),0)</f>
        <v>0</v>
      </c>
      <c r="J480" s="189">
        <f ca="1">IFERROR(__xludf.DUMMYFUNCTION("IMPORTRANGE(""https://docs.google.com/spreadsheets/d/1SX6NBoVAgQJ6U1MVXOaj8PK2l7WJ3RER9xtqwdhxkhw/edit?usp=sharing"",""ชลบุรี!J375"")"),51)</f>
        <v>51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IFERROR(__xludf.DUMMYFUNCTION("IMPORTRANGE(""https://docs.google.com/spreadsheets/d/1SX6NBoVAgQJ6U1MVXOaj8PK2l7WJ3RER9xtqwdhxkhw/edit?usp=sharing"",""ชลบุรี!J376"")"),62571.45)</f>
        <v>62571.45</v>
      </c>
      <c r="K481" s="202">
        <f t="shared" ca="1" si="117"/>
        <v>88.081660519721837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IFERROR(__xludf.DUMMYFUNCTION("IMPORTRANGE(""https://docs.google.com/spreadsheets/d/1SX6NBoVAgQJ6U1MVXOaj8PK2l7WJ3RER9xtqwdhxkhw/edit?usp=sharing"",""ชลบุรี!J377"")"),4769)</f>
        <v>4769</v>
      </c>
      <c r="K482" s="163">
        <f t="shared" ca="1" si="117"/>
        <v>90.185325264750375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IFERROR(__xludf.DUMMYFUNCTION("IMPORTRANGE(""https://docs.google.com/spreadsheets/d/1SX6NBoVAgQJ6U1MVXOaj8PK2l7WJ3RER9xtqwdhxkhw/edit?usp=sharing"",""ชลบุรี!I378"")"),0)</f>
        <v>0</v>
      </c>
      <c r="J483" s="189">
        <f ca="1">IFERROR(__xludf.DUMMYFUNCTION("IMPORTRANGE(""https://docs.google.com/spreadsheets/d/1SX6NBoVAgQJ6U1MVXOaj8PK2l7WJ3RER9xtqwdhxkhw/edit?usp=sharing"",""ชลบุรี!J378"")"),62571.45)</f>
        <v>62571.45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IFERROR(__xludf.DUMMYFUNCTION("IMPORTRANGE(""https://docs.google.com/spreadsheets/d/1SX6NBoVAgQJ6U1MVXOaj8PK2l7WJ3RER9xtqwdhxkhw/edit?usp=sharing"",""ชลบุรี!I379"")"),0)</f>
        <v>0</v>
      </c>
      <c r="J484" s="189">
        <f ca="1">IFERROR(__xludf.DUMMYFUNCTION("IMPORTRANGE(""https://docs.google.com/spreadsheets/d/1SX6NBoVAgQJ6U1MVXOaj8PK2l7WJ3RER9xtqwdhxkhw/edit?usp=sharing"",""ชลบุรี!J379"")"),4769)</f>
        <v>4769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IFERROR(__xludf.DUMMYFUNCTION("IMPORTRANGE(""https://docs.google.com/spreadsheets/d/1SX6NBoVAgQJ6U1MVXOaj8PK2l7WJ3RER9xtqwdhxkhw/edit?usp=sharing"",""ชลบุรี!I380"")"),0)</f>
        <v>0</v>
      </c>
      <c r="J485" s="189">
        <f ca="1">IFERROR(__xludf.DUMMYFUNCTION("IMPORTRANGE(""https://docs.google.com/spreadsheets/d/1SX6NBoVAgQJ6U1MVXOaj8PK2l7WJ3RER9xtqwdhxkhw/edit?usp=sharing"",""ชลบุรี!J380"")"),0)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IFERROR(__xludf.DUMMYFUNCTION("IMPORTRANGE(""https://docs.google.com/spreadsheets/d/1SX6NBoVAgQJ6U1MVXOaj8PK2l7WJ3RER9xtqwdhxkhw/edit?usp=sharing"",""ชลบุรี!I381"")"),0)</f>
        <v>0</v>
      </c>
      <c r="J486" s="189">
        <f ca="1">IFERROR(__xludf.DUMMYFUNCTION("IMPORTRANGE(""https://docs.google.com/spreadsheets/d/1SX6NBoVAgQJ6U1MVXOaj8PK2l7WJ3RER9xtqwdhxkhw/edit?usp=sharing"",""ชลบุรี!J381"")"),0)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IFERROR(__xludf.DUMMYFUNCTION("IMPORTRANGE(""https://docs.google.com/spreadsheets/d/1SX6NBoVAgQJ6U1MVXOaj8PK2l7WJ3RER9xtqwdhxkhw/edit?usp=sharing"",""ชลบุรี!I384"")"),0)</f>
        <v>0</v>
      </c>
      <c r="J489" s="189">
        <f ca="1">IFERROR(__xludf.DUMMYFUNCTION("IMPORTRANGE(""https://docs.google.com/spreadsheets/d/1SX6NBoVAgQJ6U1MVXOaj8PK2l7WJ3RER9xtqwdhxkhw/edit?usp=sharing"",""ชลบุรี!J384"")"),0)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IFERROR(__xludf.DUMMYFUNCTION("IMPORTRANGE(""https://docs.google.com/spreadsheets/d/1SX6NBoVAgQJ6U1MVXOaj8PK2l7WJ3RER9xtqwdhxkhw/edit?usp=sharing"",""ชลบุรี!I385"")"),0)</f>
        <v>0</v>
      </c>
      <c r="J490" s="189">
        <f ca="1">IFERROR(__xludf.DUMMYFUNCTION("IMPORTRANGE(""https://docs.google.com/spreadsheets/d/1SX6NBoVAgQJ6U1MVXOaj8PK2l7WJ3RER9xtqwdhxkhw/edit?usp=sharing"",""ชลบุรี!J385"")"),0)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IFERROR(__xludf.DUMMYFUNCTION("IMPORTRANGE(""https://docs.google.com/spreadsheets/d/1SX6NBoVAgQJ6U1MVXOaj8PK2l7WJ3RER9xtqwdhxkhw/edit?usp=sharing"",""ชลบุรี!I386"")"),0)</f>
        <v>0</v>
      </c>
      <c r="J491" s="189">
        <f ca="1">IFERROR(__xludf.DUMMYFUNCTION("IMPORTRANGE(""https://docs.google.com/spreadsheets/d/1SX6NBoVAgQJ6U1MVXOaj8PK2l7WJ3RER9xtqwdhxkhw/edit?usp=sharing"",""ชลบุรี!J386"")"),0)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IFERROR(__xludf.DUMMYFUNCTION("IMPORTRANGE(""https://docs.google.com/spreadsheets/d/1SX6NBoVAgQJ6U1MVXOaj8PK2l7WJ3RER9xtqwdhxkhw/edit?usp=sharing"",""ชลบุรี!I387"")"),0)</f>
        <v>0</v>
      </c>
      <c r="J492" s="189">
        <f ca="1">IFERROR(__xludf.DUMMYFUNCTION("IMPORTRANGE(""https://docs.google.com/spreadsheets/d/1SX6NBoVAgQJ6U1MVXOaj8PK2l7WJ3RER9xtqwdhxkhw/edit?usp=sharing"",""ชลบุรี!J387"")"),0)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IFERROR(__xludf.DUMMYFUNCTION("IMPORTRANGE(""https://docs.google.com/spreadsheets/d/1SX6NBoVAgQJ6U1MVXOaj8PK2l7WJ3RER9xtqwdhxkhw/edit?usp=sharing"",""ชลบุรี!I388"")"),0)</f>
        <v>0</v>
      </c>
      <c r="J493" s="189">
        <f ca="1">IFERROR(__xludf.DUMMYFUNCTION("IMPORTRANGE(""https://docs.google.com/spreadsheets/d/1SX6NBoVAgQJ6U1MVXOaj8PK2l7WJ3RER9xtqwdhxkhw/edit?usp=sharing"",""ชลบุรี!J388"")"),0)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IFERROR(__xludf.DUMMYFUNCTION("IMPORTRANGE(""https://docs.google.com/spreadsheets/d/1SX6NBoVAgQJ6U1MVXOaj8PK2l7WJ3RER9xtqwdhxkhw/edit?usp=sharing"",""ชลบุรี!I395"")"),0)</f>
        <v>0</v>
      </c>
      <c r="J500" s="162">
        <f ca="1">IFERROR(__xludf.DUMMYFUNCTION("IMPORTRANGE(""https://docs.google.com/spreadsheets/d/1SX6NBoVAgQJ6U1MVXOaj8PK2l7WJ3RER9xtqwdhxkhw/edit?usp=sharing"",""ชลบุรี!J395"")"),0)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IFERROR(__xludf.DUMMYFUNCTION("IMPORTRANGE(""https://docs.google.com/spreadsheets/d/1SX6NBoVAgQJ6U1MVXOaj8PK2l7WJ3RER9xtqwdhxkhw/edit?usp=sharing"",""ชลบุรี!I396"")"),0)</f>
        <v>0</v>
      </c>
      <c r="J501" s="162">
        <f ca="1">IFERROR(__xludf.DUMMYFUNCTION("IMPORTRANGE(""https://docs.google.com/spreadsheets/d/1SX6NBoVAgQJ6U1MVXOaj8PK2l7WJ3RER9xtqwdhxkhw/edit?usp=sharing"",""ชลบุรี!J396"")"),0)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IFERROR(__xludf.DUMMYFUNCTION("IMPORTRANGE(""https://docs.google.com/spreadsheets/d/1SX6NBoVAgQJ6U1MVXOaj8PK2l7WJ3RER9xtqwdhxkhw/edit?usp=sharing"",""ชลบุรี!I397"")"),0)</f>
        <v>0</v>
      </c>
      <c r="J502" s="189">
        <f ca="1">IFERROR(__xludf.DUMMYFUNCTION("IMPORTRANGE(""https://docs.google.com/spreadsheets/d/1SX6NBoVAgQJ6U1MVXOaj8PK2l7WJ3RER9xtqwdhxkhw/edit?usp=sharing"",""ชลบุรี!J397"")"),0)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IFERROR(__xludf.DUMMYFUNCTION("IMPORTRANGE(""https://docs.google.com/spreadsheets/d/1SX6NBoVAgQJ6U1MVXOaj8PK2l7WJ3RER9xtqwdhxkhw/edit?usp=sharing"",""ชลบุรี!I398"")"),0)</f>
        <v>0</v>
      </c>
      <c r="J503" s="198">
        <f ca="1">IFERROR(__xludf.DUMMYFUNCTION("IMPORTRANGE(""https://docs.google.com/spreadsheets/d/1SX6NBoVAgQJ6U1MVXOaj8PK2l7WJ3RER9xtqwdhxkhw/edit?usp=sharing"",""ชลบุรี!J398"")"),0)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IFERROR(__xludf.DUMMYFUNCTION("IMPORTRANGE(""https://docs.google.com/spreadsheets/d/1SX6NBoVAgQJ6U1MVXOaj8PK2l7WJ3RER9xtqwdhxkhw/edit?usp=sharing"",""ชลบุรี!I399"")"),0)</f>
        <v>0</v>
      </c>
      <c r="J504" s="189">
        <f ca="1">IFERROR(__xludf.DUMMYFUNCTION("IMPORTRANGE(""https://docs.google.com/spreadsheets/d/1SX6NBoVAgQJ6U1MVXOaj8PK2l7WJ3RER9xtqwdhxkhw/edit?usp=sharing"",""ชลบุรี!J399"")"),0)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IFERROR(__xludf.DUMMYFUNCTION("IMPORTRANGE(""https://docs.google.com/spreadsheets/d/1SX6NBoVAgQJ6U1MVXOaj8PK2l7WJ3RER9xtqwdhxkhw/edit?usp=sharing"",""ชลบุรี!I400"")"),0)</f>
        <v>0</v>
      </c>
      <c r="J505" s="198">
        <f ca="1">IFERROR(__xludf.DUMMYFUNCTION("IMPORTRANGE(""https://docs.google.com/spreadsheets/d/1SX6NBoVAgQJ6U1MVXOaj8PK2l7WJ3RER9xtqwdhxkhw/edit?usp=sharing"",""ชลบุรี!J400"")"),0)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IFERROR(__xludf.DUMMYFUNCTION("IMPORTRANGE(""https://docs.google.com/spreadsheets/d/1SX6NBoVAgQJ6U1MVXOaj8PK2l7WJ3RER9xtqwdhxkhw/edit?usp=sharing"",""ชลบุรี!I401"")"),0)</f>
        <v>0</v>
      </c>
      <c r="J506" s="189">
        <f ca="1">IFERROR(__xludf.DUMMYFUNCTION("IMPORTRANGE(""https://docs.google.com/spreadsheets/d/1SX6NBoVAgQJ6U1MVXOaj8PK2l7WJ3RER9xtqwdhxkhw/edit?usp=sharing"",""ชลบุรี!J401"")"),0)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IFERROR(__xludf.DUMMYFUNCTION("IMPORTRANGE(""https://docs.google.com/spreadsheets/d/1SX6NBoVAgQJ6U1MVXOaj8PK2l7WJ3RER9xtqwdhxkhw/edit?usp=sharing"",""ชลบุรี!I402"")"),0)</f>
        <v>0</v>
      </c>
      <c r="J507" s="198">
        <f ca="1">IFERROR(__xludf.DUMMYFUNCTION("IMPORTRANGE(""https://docs.google.com/spreadsheets/d/1SX6NBoVAgQJ6U1MVXOaj8PK2l7WJ3RER9xtqwdhxkhw/edit?usp=sharing"",""ชลบุรี!J402"")"),0)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IFERROR(__xludf.DUMMYFUNCTION("IMPORTRANGE(""https://docs.google.com/spreadsheets/d/1SX6NBoVAgQJ6U1MVXOaj8PK2l7WJ3RER9xtqwdhxkhw/edit?usp=sharing"",""ชลบุรี!I403"")"),0)</f>
        <v>0</v>
      </c>
      <c r="J508" s="162">
        <f ca="1">IFERROR(__xludf.DUMMYFUNCTION("IMPORTRANGE(""https://docs.google.com/spreadsheets/d/1SX6NBoVAgQJ6U1MVXOaj8PK2l7WJ3RER9xtqwdhxkhw/edit?usp=sharing"",""ชลบุรี!J403"")"),0)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IFERROR(__xludf.DUMMYFUNCTION("IMPORTRANGE(""https://docs.google.com/spreadsheets/d/1SX6NBoVAgQJ6U1MVXOaj8PK2l7WJ3RER9xtqwdhxkhw/edit?usp=sharing"",""ชลบุรี!I404"")"),0)</f>
        <v>0</v>
      </c>
      <c r="J509" s="162">
        <f ca="1">IFERROR(__xludf.DUMMYFUNCTION("IMPORTRANGE(""https://docs.google.com/spreadsheets/d/1SX6NBoVAgQJ6U1MVXOaj8PK2l7WJ3RER9xtqwdhxkhw/edit?usp=sharing"",""ชลบุรี!J404"")"),0)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IFERROR(__xludf.DUMMYFUNCTION("IMPORTRANGE(""https://docs.google.com/spreadsheets/d/1SX6NBoVAgQJ6U1MVXOaj8PK2l7WJ3RER9xtqwdhxkhw/edit?usp=sharing"",""ชลบุรี!I405"")"),0)</f>
        <v>0</v>
      </c>
      <c r="J510" s="198">
        <f ca="1">IFERROR(__xludf.DUMMYFUNCTION("IMPORTRANGE(""https://docs.google.com/spreadsheets/d/1SX6NBoVAgQJ6U1MVXOaj8PK2l7WJ3RER9xtqwdhxkhw/edit?usp=sharing"",""ชลบุรี!J405"")"),0)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IFERROR(__xludf.DUMMYFUNCTION("IMPORTRANGE(""https://docs.google.com/spreadsheets/d/1SX6NBoVAgQJ6U1MVXOaj8PK2l7WJ3RER9xtqwdhxkhw/edit?usp=sharing"",""ชลบุรี!I406"")"),0)</f>
        <v>0</v>
      </c>
      <c r="J511" s="198">
        <f ca="1">IFERROR(__xludf.DUMMYFUNCTION("IMPORTRANGE(""https://docs.google.com/spreadsheets/d/1SX6NBoVAgQJ6U1MVXOaj8PK2l7WJ3RER9xtqwdhxkhw/edit?usp=sharing"",""ชลบุรี!J406"")"),0)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IFERROR(__xludf.DUMMYFUNCTION("IMPORTRANGE(""https://docs.google.com/spreadsheets/d/1SX6NBoVAgQJ6U1MVXOaj8PK2l7WJ3RER9xtqwdhxkhw/edit?usp=sharing"",""ชลบุรี!I407"")"),0)</f>
        <v>0</v>
      </c>
      <c r="J512" s="198">
        <f ca="1">IFERROR(__xludf.DUMMYFUNCTION("IMPORTRANGE(""https://docs.google.com/spreadsheets/d/1SX6NBoVAgQJ6U1MVXOaj8PK2l7WJ3RER9xtqwdhxkhw/edit?usp=sharing"",""ชลบุรี!J407"")"),0)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IFERROR(__xludf.DUMMYFUNCTION("IMPORTRANGE(""https://docs.google.com/spreadsheets/d/1SX6NBoVAgQJ6U1MVXOaj8PK2l7WJ3RER9xtqwdhxkhw/edit?usp=sharing"",""ชลบุรี!I408"")"),0)</f>
        <v>0</v>
      </c>
      <c r="J513" s="198">
        <f ca="1">IFERROR(__xludf.DUMMYFUNCTION("IMPORTRANGE(""https://docs.google.com/spreadsheets/d/1SX6NBoVAgQJ6U1MVXOaj8PK2l7WJ3RER9xtqwdhxkhw/edit?usp=sharing"",""ชลบุรี!J408"")"),0)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IFERROR(__xludf.DUMMYFUNCTION("IMPORTRANGE(""https://docs.google.com/spreadsheets/d/1SX6NBoVAgQJ6U1MVXOaj8PK2l7WJ3RER9xtqwdhxkhw/edit?usp=sharing"",""ชลบุรี!I409"")"),0)</f>
        <v>0</v>
      </c>
      <c r="J514" s="198">
        <f ca="1">IFERROR(__xludf.DUMMYFUNCTION("IMPORTRANGE(""https://docs.google.com/spreadsheets/d/1SX6NBoVAgQJ6U1MVXOaj8PK2l7WJ3RER9xtqwdhxkhw/edit?usp=sharing"",""ชลบุรี!J409"")"),0)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IFERROR(__xludf.DUMMYFUNCTION("IMPORTRANGE(""https://docs.google.com/spreadsheets/d/1SX6NBoVAgQJ6U1MVXOaj8PK2l7WJ3RER9xtqwdhxkhw/edit?usp=sharing"",""ชลบุรี!I410"")"),0)</f>
        <v>0</v>
      </c>
      <c r="J515" s="198">
        <f ca="1">IFERROR(__xludf.DUMMYFUNCTION("IMPORTRANGE(""https://docs.google.com/spreadsheets/d/1SX6NBoVAgQJ6U1MVXOaj8PK2l7WJ3RER9xtqwdhxkhw/edit?usp=sharing"",""ชลบุรี!J410"")"),0)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IFERROR(__xludf.DUMMYFUNCTION("IMPORTRANGE(""https://docs.google.com/spreadsheets/d/1SX6NBoVAgQJ6U1MVXOaj8PK2l7WJ3RER9xtqwdhxkhw/edit?usp=sharing"",""ชลบุรี!I411"")"),0)</f>
        <v>0</v>
      </c>
      <c r="J516" s="268">
        <f ca="1">IFERROR(__xludf.DUMMYFUNCTION("IMPORTRANGE(""https://docs.google.com/spreadsheets/d/1SX6NBoVAgQJ6U1MVXOaj8PK2l7WJ3RER9xtqwdhxkhw/edit?usp=sharing"",""ชลบุรี!J411"")"),0)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IFERROR(__xludf.DUMMYFUNCTION("IMPORTRANGE(""https://docs.google.com/spreadsheets/d/1SX6NBoVAgQJ6U1MVXOaj8PK2l7WJ3RER9xtqwdhxkhw/edit?usp=sharing"",""ชลบุรี!I412"")"),0)</f>
        <v>0</v>
      </c>
      <c r="J517" s="285">
        <f ca="1">IFERROR(__xludf.DUMMYFUNCTION("IMPORTRANGE(""https://docs.google.com/spreadsheets/d/1SX6NBoVAgQJ6U1MVXOaj8PK2l7WJ3RER9xtqwdhxkhw/edit?usp=sharing"",""ชลบุรี!J412"")"),0)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IFERROR(__xludf.DUMMYFUNCTION("IMPORTRANGE(""https://docs.google.com/spreadsheets/d/1SX6NBoVAgQJ6U1MVXOaj8PK2l7WJ3RER9xtqwdhxkhw/edit?usp=sharing"",""ชลบุรี!I413"")"),0)</f>
        <v>0</v>
      </c>
      <c r="J518" s="285">
        <f ca="1">IFERROR(__xludf.DUMMYFUNCTION("IMPORTRANGE(""https://docs.google.com/spreadsheets/d/1SX6NBoVAgQJ6U1MVXOaj8PK2l7WJ3RER9xtqwdhxkhw/edit?usp=sharing"",""ชลบุรี!J413"")"),0)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IFERROR(__xludf.DUMMYFUNCTION("IMPORTRANGE(""https://docs.google.com/spreadsheets/d/1SX6NBoVAgQJ6U1MVXOaj8PK2l7WJ3RER9xtqwdhxkhw/edit?usp=sharing"",""ชลบุรี!I414"")"),0)</f>
        <v>0</v>
      </c>
      <c r="J519" s="188">
        <f ca="1">IFERROR(__xludf.DUMMYFUNCTION("IMPORTRANGE(""https://docs.google.com/spreadsheets/d/1SX6NBoVAgQJ6U1MVXOaj8PK2l7WJ3RER9xtqwdhxkhw/edit?usp=sharing"",""ชลบุรี!J414"")"),0)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IFERROR(__xludf.DUMMYFUNCTION("IMPORTRANGE(""https://docs.google.com/spreadsheets/d/1SX6NBoVAgQJ6U1MVXOaj8PK2l7WJ3RER9xtqwdhxkhw/edit?usp=sharing"",""ชลบุรี!I415"")"),0)</f>
        <v>0</v>
      </c>
      <c r="J520" s="188">
        <f ca="1">IFERROR(__xludf.DUMMYFUNCTION("IMPORTRANGE(""https://docs.google.com/spreadsheets/d/1SX6NBoVAgQJ6U1MVXOaj8PK2l7WJ3RER9xtqwdhxkhw/edit?usp=sharing"",""ชลบุรี!J415"")"),0)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IFERROR(__xludf.DUMMYFUNCTION("IMPORTRANGE(""https://docs.google.com/spreadsheets/d/1SX6NBoVAgQJ6U1MVXOaj8PK2l7WJ3RER9xtqwdhxkhw/edit?usp=sharing"",""ชลบุรี!I416"")"),0)</f>
        <v>0</v>
      </c>
      <c r="J521" s="188">
        <f ca="1">IFERROR(__xludf.DUMMYFUNCTION("IMPORTRANGE(""https://docs.google.com/spreadsheets/d/1SX6NBoVAgQJ6U1MVXOaj8PK2l7WJ3RER9xtqwdhxkhw/edit?usp=sharing"",""ชลบุรี!J416"")"),0)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IFERROR(__xludf.DUMMYFUNCTION("IMPORTRANGE(""https://docs.google.com/spreadsheets/d/1SX6NBoVAgQJ6U1MVXOaj8PK2l7WJ3RER9xtqwdhxkhw/edit?usp=sharing"",""ชลบุรี!I417"")"),0)</f>
        <v>0</v>
      </c>
      <c r="J522" s="188">
        <f ca="1">IFERROR(__xludf.DUMMYFUNCTION("IMPORTRANGE(""https://docs.google.com/spreadsheets/d/1SX6NBoVAgQJ6U1MVXOaj8PK2l7WJ3RER9xtqwdhxkhw/edit?usp=sharing"",""ชลบุรี!J417"")"),0)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IFERROR(__xludf.DUMMYFUNCTION("IMPORTRANGE(""https://docs.google.com/spreadsheets/d/1SX6NBoVAgQJ6U1MVXOaj8PK2l7WJ3RER9xtqwdhxkhw/edit?usp=sharing"",""ชลบุรี!I418"")"),0)</f>
        <v>0</v>
      </c>
      <c r="J523" s="188">
        <f ca="1">IFERROR(__xludf.DUMMYFUNCTION("IMPORTRANGE(""https://docs.google.com/spreadsheets/d/1SX6NBoVAgQJ6U1MVXOaj8PK2l7WJ3RER9xtqwdhxkhw/edit?usp=sharing"",""ชลบุรี!J418"")"),4494)</f>
        <v>4494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IFERROR(__xludf.DUMMYFUNCTION("IMPORTRANGE(""https://docs.google.com/spreadsheets/d/1SX6NBoVAgQJ6U1MVXOaj8PK2l7WJ3RER9xtqwdhxkhw/edit?usp=sharing"",""ชลบุรี!I419"")"),0)</f>
        <v>0</v>
      </c>
      <c r="J524" s="188">
        <f ca="1">IFERROR(__xludf.DUMMYFUNCTION("IMPORTRANGE(""https://docs.google.com/spreadsheets/d/1SX6NBoVAgQJ6U1MVXOaj8PK2l7WJ3RER9xtqwdhxkhw/edit?usp=sharing"",""ชลบุรี!J419"")"),115)</f>
        <v>115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IFERROR(__xludf.DUMMYFUNCTION("IMPORTRANGE(""https://docs.google.com/spreadsheets/d/1SX6NBoVAgQJ6U1MVXOaj8PK2l7WJ3RER9xtqwdhxkhw/edit?usp=sharing"",""ชลบุรี!I420"")"),4494)</f>
        <v>4494</v>
      </c>
      <c r="J525" s="285">
        <f ca="1">IFERROR(__xludf.DUMMYFUNCTION("IMPORTRANGE(""https://docs.google.com/spreadsheets/d/1SX6NBoVAgQJ6U1MVXOaj8PK2l7WJ3RER9xtqwdhxkhw/edit?usp=sharing"",""ชลบุรี!J420"")"),4494.41)</f>
        <v>4494.41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IFERROR(__xludf.DUMMYFUNCTION("IMPORTRANGE(""https://docs.google.com/spreadsheets/d/1SX6NBoVAgQJ6U1MVXOaj8PK2l7WJ3RER9xtqwdhxkhw/edit?usp=sharing"",""ชลบุรี!I421"")"),115)</f>
        <v>115</v>
      </c>
      <c r="J526" s="285">
        <f ca="1">IFERROR(__xludf.DUMMYFUNCTION("IMPORTRANGE(""https://docs.google.com/spreadsheets/d/1SX6NBoVAgQJ6U1MVXOaj8PK2l7WJ3RER9xtqwdhxkhw/edit?usp=sharing"",""ชลบุรี!J421"")"),115)</f>
        <v>115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IFERROR(__xludf.DUMMYFUNCTION("IMPORTRANGE(""https://docs.google.com/spreadsheets/d/1SX6NBoVAgQJ6U1MVXOaj8PK2l7WJ3RER9xtqwdhxkhw/edit?usp=sharing"",""ชลบุรี!I422"")"),0)</f>
        <v>0</v>
      </c>
      <c r="J527" s="198">
        <f ca="1">IFERROR(__xludf.DUMMYFUNCTION("IMPORTRANGE(""https://docs.google.com/spreadsheets/d/1SX6NBoVAgQJ6U1MVXOaj8PK2l7WJ3RER9xtqwdhxkhw/edit?usp=sharing"",""ชลบุรี!J422"")"),4344.76)</f>
        <v>4344.76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IFERROR(__xludf.DUMMYFUNCTION("IMPORTRANGE(""https://docs.google.com/spreadsheets/d/1SX6NBoVAgQJ6U1MVXOaj8PK2l7WJ3RER9xtqwdhxkhw/edit?usp=sharing"",""ชลบุรี!I423"")"),0)</f>
        <v>0</v>
      </c>
      <c r="J528" s="198">
        <f ca="1">IFERROR(__xludf.DUMMYFUNCTION("IMPORTRANGE(""https://docs.google.com/spreadsheets/d/1SX6NBoVAgQJ6U1MVXOaj8PK2l7WJ3RER9xtqwdhxkhw/edit?usp=sharing"",""ชลบุรี!J423"")"),104)</f>
        <v>104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IFERROR(__xludf.DUMMYFUNCTION("IMPORTRANGE(""https://docs.google.com/spreadsheets/d/1SX6NBoVAgQJ6U1MVXOaj8PK2l7WJ3RER9xtqwdhxkhw/edit?usp=sharing"",""ชลบุรี!I424"")"),0)</f>
        <v>0</v>
      </c>
      <c r="J529" s="198">
        <f ca="1">IFERROR(__xludf.DUMMYFUNCTION("IMPORTRANGE(""https://docs.google.com/spreadsheets/d/1SX6NBoVAgQJ6U1MVXOaj8PK2l7WJ3RER9xtqwdhxkhw/edit?usp=sharing"",""ชลบุรี!J424"")"),149.65)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IFERROR(__xludf.DUMMYFUNCTION("IMPORTRANGE(""https://docs.google.com/spreadsheets/d/1SX6NBoVAgQJ6U1MVXOaj8PK2l7WJ3RER9xtqwdhxkhw/edit?usp=sharing"",""ชลบุรี!I425"")"),0)</f>
        <v>0</v>
      </c>
      <c r="J530" s="198">
        <f ca="1">IFERROR(__xludf.DUMMYFUNCTION("IMPORTRANGE(""https://docs.google.com/spreadsheets/d/1SX6NBoVAgQJ6U1MVXOaj8PK2l7WJ3RER9xtqwdhxkhw/edit?usp=sharing"",""ชลบุรี!J425"")"),11)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IFERROR(__xludf.DUMMYFUNCTION("IMPORTRANGE(""https://docs.google.com/spreadsheets/d/1SX6NBoVAgQJ6U1MVXOaj8PK2l7WJ3RER9xtqwdhxkhw/edit?usp=sharing"",""ชลบุรี!I426"")"),0)</f>
        <v>0</v>
      </c>
      <c r="J531" s="198">
        <f ca="1">IFERROR(__xludf.DUMMYFUNCTION("IMPORTRANGE(""https://docs.google.com/spreadsheets/d/1SX6NBoVAgQJ6U1MVXOaj8PK2l7WJ3RER9xtqwdhxkhw/edit?usp=sharing"",""ชลบุรี!J426"")"),0)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IFERROR(__xludf.DUMMYFUNCTION("IMPORTRANGE(""https://docs.google.com/spreadsheets/d/1SX6NBoVAgQJ6U1MVXOaj8PK2l7WJ3RER9xtqwdhxkhw/edit?usp=sharing"",""ชลบุรี!L428"")"),32640)</f>
        <v>32640</v>
      </c>
      <c r="M533" s="412"/>
      <c r="N533" s="412">
        <f ca="1">IFERROR(__xludf.DUMMYFUNCTION("IMPORTRANGE(""https://docs.google.com/spreadsheets/d/1SX6NBoVAgQJ6U1MVXOaj8PK2l7WJ3RER9xtqwdhxkhw/edit?usp=sharing"",""ชลบุรี!M428"")"),14840)</f>
        <v>14840</v>
      </c>
      <c r="O533" s="412">
        <f t="shared" ref="O533:O537" ca="1" si="118">+IF(L533&gt;0,N533*100/L533,0)</f>
        <v>45.465686274509807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IFERROR(__xludf.DUMMYFUNCTION("IMPORTRANGE(""https://docs.google.com/spreadsheets/d/1SX6NBoVAgQJ6U1MVXOaj8PK2l7WJ3RER9xtqwdhxkhw/edit?usp=sharing"",""ชลบุรี!L429"")"),0)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IFERROR(__xludf.DUMMYFUNCTION("IMPORTRANGE(""https://docs.google.com/spreadsheets/d/1SX6NBoVAgQJ6U1MVXOaj8PK2l7WJ3RER9xtqwdhxkhw/edit?usp=sharing"",""ชลบุรี!M429"")"),0)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IFERROR(__xludf.DUMMYFUNCTION("IMPORTRANGE(""https://docs.google.com/spreadsheets/d/1SX6NBoVAgQJ6U1MVXOaj8PK2l7WJ3RER9xtqwdhxkhw/edit?usp=sharing"",""ชลบุรี!L430"")"),32640)</f>
        <v>32640</v>
      </c>
      <c r="M535" s="165"/>
      <c r="N535" s="169">
        <f ca="1">IFERROR(__xludf.DUMMYFUNCTION("IMPORTRANGE(""https://docs.google.com/spreadsheets/d/1SX6NBoVAgQJ6U1MVXOaj8PK2l7WJ3RER9xtqwdhxkhw/edit?usp=sharing"",""ชลบุรี!M430"")"),14840)</f>
        <v>14840</v>
      </c>
      <c r="O535" s="169">
        <f t="shared" ca="1" si="118"/>
        <v>45.465686274509807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IFERROR(__xludf.DUMMYFUNCTION("IMPORTRANGE(""https://docs.google.com/spreadsheets/d/1SX6NBoVAgQJ6U1MVXOaj8PK2l7WJ3RER9xtqwdhxkhw/edit?usp=sharing"",""ชลบุรี!L431"")"),0)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IFERROR(__xludf.DUMMYFUNCTION("IMPORTRANGE(""https://docs.google.com/spreadsheets/d/1SX6NBoVAgQJ6U1MVXOaj8PK2l7WJ3RER9xtqwdhxkhw/edit?usp=sharing"",""ชลบุรี!M431"")"),0)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IFERROR(__xludf.DUMMYFUNCTION("IMPORTRANGE(""https://docs.google.com/spreadsheets/d/1SX6NBoVAgQJ6U1MVXOaj8PK2l7WJ3RER9xtqwdhxkhw/edit?usp=sharing"",""ชลบุรี!L432"")"),32640)</f>
        <v>32640</v>
      </c>
      <c r="M537" s="169"/>
      <c r="N537" s="169">
        <f ca="1">IFERROR(__xludf.DUMMYFUNCTION("IMPORTRANGE(""https://docs.google.com/spreadsheets/d/1SX6NBoVAgQJ6U1MVXOaj8PK2l7WJ3RER9xtqwdhxkhw/edit?usp=sharing"",""ชลบุรี!M432"")"),14840)</f>
        <v>14840</v>
      </c>
      <c r="O537" s="169">
        <f t="shared" ca="1" si="118"/>
        <v>45.465686274509807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IFERROR(__xludf.DUMMYFUNCTION("IMPORTRANGE(""https://docs.google.com/spreadsheets/d/1SX6NBoVAgQJ6U1MVXOaj8PK2l7WJ3RER9xtqwdhxkhw/edit?usp=sharing"",""ชลบุรี!M433"")"),13600)</f>
        <v>13600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IFERROR(__xludf.DUMMYFUNCTION("IMPORTRANGE(""https://docs.google.com/spreadsheets/d/1SX6NBoVAgQJ6U1MVXOaj8PK2l7WJ3RER9xtqwdhxkhw/edit?usp=sharing"",""ชลบุรี!M436"")"),1240)</f>
        <v>1240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IFERROR(__xludf.DUMMYFUNCTION("IMPORTRANGE(""https://docs.google.com/spreadsheets/d/1SX6NBoVAgQJ6U1MVXOaj8PK2l7WJ3RER9xtqwdhxkhw/edit?usp=sharing"",""ชลบุรี!J438"")"),0)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IFERROR(__xludf.DUMMYFUNCTION("IMPORTRANGE(""https://docs.google.com/spreadsheets/d/1SX6NBoVAgQJ6U1MVXOaj8PK2l7WJ3RER9xtqwdhxkhw/edit?usp=sharing"",""ชลบุรี!J439"")"),1)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IFERROR(__xludf.DUMMYFUNCTION("IMPORTRANGE(""https://docs.google.com/spreadsheets/d/1SX6NBoVAgQJ6U1MVXOaj8PK2l7WJ3RER9xtqwdhxkhw/edit?usp=sharing"",""ชลบุรี!J440"")"),1)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IFERROR(__xludf.DUMMYFUNCTION("IMPORTRANGE(""https://docs.google.com/spreadsheets/d/1SX6NBoVAgQJ6U1MVXOaj8PK2l7WJ3RER9xtqwdhxkhw/edit?usp=sharing"",""ชลบุรี!J441"")"),1)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IFERROR(__xludf.DUMMYFUNCTION("IMPORTRANGE(""https://docs.google.com/spreadsheets/d/1SX6NBoVAgQJ6U1MVXOaj8PK2l7WJ3RER9xtqwdhxkhw/edit?usp=sharing"",""ชลบุรี!I442"")"),20)</f>
        <v>20</v>
      </c>
      <c r="J547" s="189">
        <f ca="1">IFERROR(__xludf.DUMMYFUNCTION("IMPORTRANGE(""https://docs.google.com/spreadsheets/d/1SX6NBoVAgQJ6U1MVXOaj8PK2l7WJ3RER9xtqwdhxkhw/edit?usp=sharing"",""ชลบุรี!J442"")"),20)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IFERROR(__xludf.DUMMYFUNCTION("IMPORTRANGE(""https://docs.google.com/spreadsheets/d/1SX6NBoVAgQJ6U1MVXOaj8PK2l7WJ3RER9xtqwdhxkhw/edit?usp=sharing"",""ชลบุรี!J166"")"),0)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IFERROR(__xludf.DUMMYFUNCTION("IMPORTRANGE(""https://docs.google.com/spreadsheets/d/1SX6NBoVAgQJ6U1MVXOaj8PK2l7WJ3RER9xtqwdhxkhw/edit?usp=sharing"",""ชลบุรี!J444"")"),0)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IFERROR(__xludf.DUMMYFUNCTION("IMPORTRANGE(""https://docs.google.com/spreadsheets/d/1SX6NBoVAgQJ6U1MVXOaj8PK2l7WJ3RER9xtqwdhxkhw/edit?usp=sharing"",""ชลบุรี!L447"")"),0)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IFERROR(__xludf.DUMMYFUNCTION("IMPORTRANGE(""https://docs.google.com/spreadsheets/d/1SX6NBoVAgQJ6U1MVXOaj8PK2l7WJ3RER9xtqwdhxkhw/edit?usp=sharing"",""ชลบุรี!M447"")"),0)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IFERROR(__xludf.DUMMYFUNCTION("IMPORTRANGE(""https://docs.google.com/spreadsheets/d/1SX6NBoVAgQJ6U1MVXOaj8PK2l7WJ3RER9xtqwdhxkhw/edit?usp=sharing"",""ชลบุรี!L448"")"),0)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IFERROR(__xludf.DUMMYFUNCTION("IMPORTRANGE(""https://docs.google.com/spreadsheets/d/1SX6NBoVAgQJ6U1MVXOaj8PK2l7WJ3RER9xtqwdhxkhw/edit?usp=sharing"",""ชลบุรี!M448"")"),0)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IFERROR(__xludf.DUMMYFUNCTION("IMPORTRANGE(""https://docs.google.com/spreadsheets/d/1SX6NBoVAgQJ6U1MVXOaj8PK2l7WJ3RER9xtqwdhxkhw/edit?usp=sharing"",""ชลบุรี!L449"")"),0)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IFERROR(__xludf.DUMMYFUNCTION("IMPORTRANGE(""https://docs.google.com/spreadsheets/d/1SX6NBoVAgQJ6U1MVXOaj8PK2l7WJ3RER9xtqwdhxkhw/edit?usp=sharing"",""ชลบุรี!M449"")"),0)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IFERROR(__xludf.DUMMYFUNCTION("IMPORTRANGE(""https://docs.google.com/spreadsheets/d/1SX6NBoVAgQJ6U1MVXOaj8PK2l7WJ3RER9xtqwdhxkhw/edit?usp=sharing"",""ชลบุรี!L450"")"),0)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IFERROR(__xludf.DUMMYFUNCTION("IMPORTRANGE(""https://docs.google.com/spreadsheets/d/1SX6NBoVAgQJ6U1MVXOaj8PK2l7WJ3RER9xtqwdhxkhw/edit?usp=sharing"",""ชลบุรี!M450"")"),0)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IFERROR(__xludf.DUMMYFUNCTION("IMPORTRANGE(""https://docs.google.com/spreadsheets/d/1SX6NBoVAgQJ6U1MVXOaj8PK2l7WJ3RER9xtqwdhxkhw/edit?usp=sharing"",""ชลบุรี!M451"")"),0)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IFERROR(__xludf.DUMMYFUNCTION("IMPORTRANGE(""https://docs.google.com/spreadsheets/d/1SX6NBoVAgQJ6U1MVXOaj8PK2l7WJ3RER9xtqwdhxkhw/edit?usp=sharing"",""ชลบุรี!M452"")"),0)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IFERROR(__xludf.DUMMYFUNCTION("IMPORTRANGE(""https://docs.google.com/spreadsheets/d/1SX6NBoVAgQJ6U1MVXOaj8PK2l7WJ3RER9xtqwdhxkhw/edit?usp=sharing"",""ชลบุรี!M453"")"),0)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IFERROR(__xludf.DUMMYFUNCTION("IMPORTRANGE(""https://docs.google.com/spreadsheets/d/1SX6NBoVAgQJ6U1MVXOaj8PK2l7WJ3RER9xtqwdhxkhw/edit?usp=sharing"",""ชลบุรี!M454"")"),0)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IFERROR(__xludf.DUMMYFUNCTION("IMPORTRANGE(""https://docs.google.com/spreadsheets/d/1SX6NBoVAgQJ6U1MVXOaj8PK2l7WJ3RER9xtqwdhxkhw/edit?usp=sharing"",""ชลบุรี!I455"")"),0)</f>
        <v>0</v>
      </c>
      <c r="J560" s="162">
        <f ca="1">IFERROR(__xludf.DUMMYFUNCTION("IMPORTRANGE(""https://docs.google.com/spreadsheets/d/1SX6NBoVAgQJ6U1MVXOaj8PK2l7WJ3RER9xtqwdhxkhw/edit?usp=sharing"",""ชลบุรี!J455"")"),0)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IFERROR(__xludf.DUMMYFUNCTION("IMPORTRANGE(""https://docs.google.com/spreadsheets/d/1SX6NBoVAgQJ6U1MVXOaj8PK2l7WJ3RER9xtqwdhxkhw/edit?usp=sharing"",""ชลบุรี!I456"")"),0)</f>
        <v>0</v>
      </c>
      <c r="J561" s="204">
        <f ca="1">IFERROR(__xludf.DUMMYFUNCTION("IMPORTRANGE(""https://docs.google.com/spreadsheets/d/1SX6NBoVAgQJ6U1MVXOaj8PK2l7WJ3RER9xtqwdhxkhw/edit?usp=sharing"",""ชลบุรี!J456"")"),0)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IFERROR(__xludf.DUMMYFUNCTION("IMPORTRANGE(""https://docs.google.com/spreadsheets/d/1SX6NBoVAgQJ6U1MVXOaj8PK2l7WJ3RER9xtqwdhxkhw/edit?usp=sharing"",""ชลบุรี!J459"")"),1947)</f>
        <v>1947</v>
      </c>
      <c r="K564" s="372">
        <f ca="1">IF(I564&gt;0,J564*100/I564,0)</f>
        <v>216.33333333333334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IFERROR(__xludf.DUMMYFUNCTION("IMPORTRANGE(""https://docs.google.com/spreadsheets/d/1SX6NBoVAgQJ6U1MVXOaj8PK2l7WJ3RER9xtqwdhxkhw/edit?usp=sharing"",""ชลบุรี!M459"")"),55223.85)</f>
        <v>55223.85</v>
      </c>
      <c r="O564" s="373">
        <f t="shared" ref="O564:O568" ca="1" si="122">+IF(L564&gt;0,N564*100/L564,0)</f>
        <v>45.594327939233821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IFERROR(__xludf.DUMMYFUNCTION("IMPORTRANGE(""https://docs.google.com/spreadsheets/d/1SX6NBoVAgQJ6U1MVXOaj8PK2l7WJ3RER9xtqwdhxkhw/edit?usp=sharing"",""ชลบุรี!L460"")"),0)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IFERROR(__xludf.DUMMYFUNCTION("IMPORTRANGE(""https://docs.google.com/spreadsheets/d/1SX6NBoVAgQJ6U1MVXOaj8PK2l7WJ3RER9xtqwdhxkhw/edit?usp=sharing"",""ชลบุรี!M460"")"),0)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IFERROR(__xludf.DUMMYFUNCTION("IMPORTRANGE(""https://docs.google.com/spreadsheets/d/1SX6NBoVAgQJ6U1MVXOaj8PK2l7WJ3RER9xtqwdhxkhw/edit?usp=sharing"",""ชลบุรี!L461"")"),121120)</f>
        <v>121120</v>
      </c>
      <c r="M566" s="165"/>
      <c r="N566" s="169">
        <f ca="1">IFERROR(__xludf.DUMMYFUNCTION("IMPORTRANGE(""https://docs.google.com/spreadsheets/d/1SX6NBoVAgQJ6U1MVXOaj8PK2l7WJ3RER9xtqwdhxkhw/edit?usp=sharing"",""ชลบุรี!M461"")"),55223.85)</f>
        <v>55223.85</v>
      </c>
      <c r="O566" s="169">
        <f t="shared" ca="1" si="122"/>
        <v>45.594327939233821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IFERROR(__xludf.DUMMYFUNCTION("IMPORTRANGE(""https://docs.google.com/spreadsheets/d/1SX6NBoVAgQJ6U1MVXOaj8PK2l7WJ3RER9xtqwdhxkhw/edit?usp=sharing"",""ชลบุรี!L462"")"),0)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IFERROR(__xludf.DUMMYFUNCTION("IMPORTRANGE(""https://docs.google.com/spreadsheets/d/1SX6NBoVAgQJ6U1MVXOaj8PK2l7WJ3RER9xtqwdhxkhw/edit?usp=sharing"",""ชลบุรี!M462"")"),0)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IFERROR(__xludf.DUMMYFUNCTION("IMPORTRANGE(""https://docs.google.com/spreadsheets/d/1SX6NBoVAgQJ6U1MVXOaj8PK2l7WJ3RER9xtqwdhxkhw/edit?usp=sharing"",""ชลบุรี!L463"")"),121120)</f>
        <v>121120</v>
      </c>
      <c r="M568" s="169"/>
      <c r="N568" s="169">
        <f ca="1">IFERROR(__xludf.DUMMYFUNCTION("IMPORTRANGE(""https://docs.google.com/spreadsheets/d/1SX6NBoVAgQJ6U1MVXOaj8PK2l7WJ3RER9xtqwdhxkhw/edit?usp=sharing"",""ชลบุรี!M463"")"),55223.85)</f>
        <v>55223.85</v>
      </c>
      <c r="O568" s="169">
        <f t="shared" ca="1" si="122"/>
        <v>45.594327939233821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IFERROR(__xludf.DUMMYFUNCTION("IMPORTRANGE(""https://docs.google.com/spreadsheets/d/1SX6NBoVAgQJ6U1MVXOaj8PK2l7WJ3RER9xtqwdhxkhw/edit?usp=sharing"",""ชลบุรี!M464"")"),0)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IFERROR(__xludf.DUMMYFUNCTION("IMPORTRANGE(""https://docs.google.com/spreadsheets/d/1SX6NBoVAgQJ6U1MVXOaj8PK2l7WJ3RER9xtqwdhxkhw/edit?usp=sharing"",""ชลบุรี!M465"")"),0)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IFERROR(__xludf.DUMMYFUNCTION("IMPORTRANGE(""https://docs.google.com/spreadsheets/d/1SX6NBoVAgQJ6U1MVXOaj8PK2l7WJ3RER9xtqwdhxkhw/edit?usp=sharing"",""ชลบุรี!M466"")"),38892.85)</f>
        <v>38892.85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IFERROR(__xludf.DUMMYFUNCTION("IMPORTRANGE(""https://docs.google.com/spreadsheets/d/1SX6NBoVAgQJ6U1MVXOaj8PK2l7WJ3RER9xtqwdhxkhw/edit?usp=sharing"",""ชลบุรี!M467"")"),16331)</f>
        <v>16331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IFERROR(__xludf.DUMMYFUNCTION("IMPORTRANGE(""https://docs.google.com/spreadsheets/d/1SX6NBoVAgQJ6U1MVXOaj8PK2l7WJ3RER9xtqwdhxkhw/edit?usp=sharing"",""ชลบุรี!J468"")"),1947)</f>
        <v>1947</v>
      </c>
      <c r="K573" s="202">
        <f ca="1">IF(I573&gt;0,J573*100/I573,0)</f>
        <v>216.33333333333334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IFERROR(__xludf.DUMMYFUNCTION("IMPORTRANGE(""https://docs.google.com/spreadsheets/d/1SX6NBoVAgQJ6U1MVXOaj8PK2l7WJ3RER9xtqwdhxkhw/edit?usp=sharing"",""ชลบุรี!I470"")"),0)</f>
        <v>0</v>
      </c>
      <c r="J575" s="198">
        <f ca="1">IFERROR(__xludf.DUMMYFUNCTION("IMPORTRANGE(""https://docs.google.com/spreadsheets/d/1SX6NBoVAgQJ6U1MVXOaj8PK2l7WJ3RER9xtqwdhxkhw/edit?usp=sharing"",""ชลบุรี!J470"")"),3)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IFERROR(__xludf.DUMMYFUNCTION("IMPORTRANGE(""https://docs.google.com/spreadsheets/d/1SX6NBoVAgQJ6U1MVXOaj8PK2l7WJ3RER9xtqwdhxkhw/edit?usp=sharing"",""ชลบุรี!I471"")"),0)</f>
        <v>0</v>
      </c>
      <c r="J576" s="198">
        <f ca="1">IFERROR(__xludf.DUMMYFUNCTION("IMPORTRANGE(""https://docs.google.com/spreadsheets/d/1SX6NBoVAgQJ6U1MVXOaj8PK2l7WJ3RER9xtqwdhxkhw/edit?usp=sharing"",""ชลบุรี!J471"")"),65)</f>
        <v>65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IFERROR(__xludf.DUMMYFUNCTION("IMPORTRANGE(""https://docs.google.com/spreadsheets/d/1SX6NBoVAgQJ6U1MVXOaj8PK2l7WJ3RER9xtqwdhxkhw/edit?usp=sharing"",""ชลบุรี!I472"")"),0)</f>
        <v>0</v>
      </c>
      <c r="J577" s="189">
        <f ca="1">IFERROR(__xludf.DUMMYFUNCTION("IMPORTRANGE(""https://docs.google.com/spreadsheets/d/1SX6NBoVAgQJ6U1MVXOaj8PK2l7WJ3RER9xtqwdhxkhw/edit?usp=sharing"",""ชลบุรี!J472"")"),1882)</f>
        <v>1882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IFERROR(__xludf.DUMMYFUNCTION("IMPORTRANGE(""https://docs.google.com/spreadsheets/d/1SX6NBoVAgQJ6U1MVXOaj8PK2l7WJ3RER9xtqwdhxkhw/edit?usp=sharing"",""ชลบุรี!I473"")"),0)</f>
        <v>0</v>
      </c>
      <c r="J578" s="198">
        <f ca="1">IFERROR(__xludf.DUMMYFUNCTION("IMPORTRANGE(""https://docs.google.com/spreadsheets/d/1SX6NBoVAgQJ6U1MVXOaj8PK2l7WJ3RER9xtqwdhxkhw/edit?usp=sharing"",""ชลบุรี!J473"")"),0)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IFERROR(__xludf.DUMMYFUNCTION("IMPORTRANGE(""https://docs.google.com/spreadsheets/d/1SX6NBoVAgQJ6U1MVXOaj8PK2l7WJ3RER9xtqwdhxkhw/edit?usp=sharing"",""ชลบุรี!I474"")"),0)</f>
        <v>0</v>
      </c>
      <c r="J579" s="198">
        <f ca="1">IFERROR(__xludf.DUMMYFUNCTION("IMPORTRANGE(""https://docs.google.com/spreadsheets/d/1SX6NBoVAgQJ6U1MVXOaj8PK2l7WJ3RER9xtqwdhxkhw/edit?usp=sharing"",""ชลบุรี!J474"")"),0)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IFERROR(__xludf.DUMMYFUNCTION("IMPORTRANGE(""https://docs.google.com/spreadsheets/d/1SX6NBoVAgQJ6U1MVXOaj8PK2l7WJ3RER9xtqwdhxkhw/edit?usp=sharing"",""ชลบุรี!M475"")"),0)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IFERROR(__xludf.DUMMYFUNCTION("IMPORTRANGE(""https://docs.google.com/spreadsheets/d/1SX6NBoVAgQJ6U1MVXOaj8PK2l7WJ3RER9xtqwdhxkhw/edit?usp=sharing"",""ชลบุรี!L476"")"),0)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IFERROR(__xludf.DUMMYFUNCTION("IMPORTRANGE(""https://docs.google.com/spreadsheets/d/1SX6NBoVAgQJ6U1MVXOaj8PK2l7WJ3RER9xtqwdhxkhw/edit?usp=sharing"",""ชลบุรี!M476"")"),0)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IFERROR(__xludf.DUMMYFUNCTION("IMPORTRANGE(""https://docs.google.com/spreadsheets/d/1SX6NBoVAgQJ6U1MVXOaj8PK2l7WJ3RER9xtqwdhxkhw/edit?usp=sharing"",""ชลบุรี!L477"")"),0)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IFERROR(__xludf.DUMMYFUNCTION("IMPORTRANGE(""https://docs.google.com/spreadsheets/d/1SX6NBoVAgQJ6U1MVXOaj8PK2l7WJ3RER9xtqwdhxkhw/edit?usp=sharing"",""ชลบุรี!M477"")"),0)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IFERROR(__xludf.DUMMYFUNCTION("IMPORTRANGE(""https://docs.google.com/spreadsheets/d/1SX6NBoVAgQJ6U1MVXOaj8PK2l7WJ3RER9xtqwdhxkhw/edit?usp=sharing"",""ชลบุรี!L478"")"),0)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IFERROR(__xludf.DUMMYFUNCTION("IMPORTRANGE(""https://docs.google.com/spreadsheets/d/1SX6NBoVAgQJ6U1MVXOaj8PK2l7WJ3RER9xtqwdhxkhw/edit?usp=sharing"",""ชลบุรี!M478"")"),0)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IFERROR(__xludf.DUMMYFUNCTION("IMPORTRANGE(""https://docs.google.com/spreadsheets/d/1SX6NBoVAgQJ6U1MVXOaj8PK2l7WJ3RER9xtqwdhxkhw/edit?usp=sharing"",""ชลบุรี!L479"")"),0)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IFERROR(__xludf.DUMMYFUNCTION("IMPORTRANGE(""https://docs.google.com/spreadsheets/d/1SX6NBoVAgQJ6U1MVXOaj8PK2l7WJ3RER9xtqwdhxkhw/edit?usp=sharing"",""ชลบุรี!M479"")"),0)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IFERROR(__xludf.DUMMYFUNCTION("IMPORTRANGE(""https://docs.google.com/spreadsheets/d/1SX6NBoVAgQJ6U1MVXOaj8PK2l7WJ3RER9xtqwdhxkhw/edit?usp=sharing"",""ชลบุรี!M480"")"),0)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IFERROR(__xludf.DUMMYFUNCTION("IMPORTRANGE(""https://docs.google.com/spreadsheets/d/1SX6NBoVAgQJ6U1MVXOaj8PK2l7WJ3RER9xtqwdhxkhw/edit?usp=sharing"",""ชลบุรี!M481"")"),0)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IFERROR(__xludf.DUMMYFUNCTION("IMPORTRANGE(""https://docs.google.com/spreadsheets/d/1SX6NBoVAgQJ6U1MVXOaj8PK2l7WJ3RER9xtqwdhxkhw/edit?usp=sharing"",""ชลบุรี!M482"")"),0)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IFERROR(__xludf.DUMMYFUNCTION("IMPORTRANGE(""https://docs.google.com/spreadsheets/d/1SX6NBoVAgQJ6U1MVXOaj8PK2l7WJ3RER9xtqwdhxkhw/edit?usp=sharing"",""ชลบุรี!M483"")"),0)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IFERROR(__xludf.DUMMYFUNCTION("IMPORTRANGE(""https://docs.google.com/spreadsheets/d/1SX6NBoVAgQJ6U1MVXOaj8PK2l7WJ3RER9xtqwdhxkhw/edit?usp=sharing"",""ชลบุรี!I484"")"),0)</f>
        <v>0</v>
      </c>
      <c r="J589" s="188">
        <f ca="1">IFERROR(__xludf.DUMMYFUNCTION("IMPORTRANGE(""https://docs.google.com/spreadsheets/d/1SX6NBoVAgQJ6U1MVXOaj8PK2l7WJ3RER9xtqwdhxkhw/edit?usp=sharing"",""ชลบุรี!J484"")"),1)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8">
        <f ca="1">IFERROR(__xludf.DUMMYFUNCTION("IMPORTRANGE(""https://docs.google.com/spreadsheets/d/1SX6NBoVAgQJ6U1MVXOaj8PK2l7WJ3RER9xtqwdhxkhw/edit?usp=sharing"",""ชลบุรี!J485"")"),0.73)</f>
        <v>0.73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IFERROR(__xludf.DUMMYFUNCTION("IMPORTRANGE(""https://docs.google.com/spreadsheets/d/1SX6NBoVAgQJ6U1MVXOaj8PK2l7WJ3RER9xtqwdhxkhw/edit?usp=sharing"",""ชลบุรี!I486"")"),0)</f>
        <v>0</v>
      </c>
      <c r="J591" s="188">
        <f ca="1">IFERROR(__xludf.DUMMYFUNCTION("IMPORTRANGE(""https://docs.google.com/spreadsheets/d/1SX6NBoVAgQJ6U1MVXOaj8PK2l7WJ3RER9xtqwdhxkhw/edit?usp=sharing"",""ชลบุรี!J486"")"),1)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8">
        <f ca="1">IFERROR(__xludf.DUMMYFUNCTION("IMPORTRANGE(""https://docs.google.com/spreadsheets/d/1SX6NBoVAgQJ6U1MVXOaj8PK2l7WJ3RER9xtqwdhxkhw/edit?usp=sharing"",""ชลบุรี!J487"")"),0.16)</f>
        <v>0.16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IFERROR(__xludf.DUMMYFUNCTION("IMPORTRANGE(""https://docs.google.com/spreadsheets/d/1SX6NBoVAgQJ6U1MVXOaj8PK2l7WJ3RER9xtqwdhxkhw/edit?usp=sharing"",""ชลบุรี!I488"")"),0)</f>
        <v>0</v>
      </c>
      <c r="J593" s="188">
        <f ca="1">IFERROR(__xludf.DUMMYFUNCTION("IMPORTRANGE(""https://docs.google.com/spreadsheets/d/1SX6NBoVAgQJ6U1MVXOaj8PK2l7WJ3RER9xtqwdhxkhw/edit?usp=sharing"",""ชลบุรี!J488"")"),0)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8">
        <f ca="1">IFERROR(__xludf.DUMMYFUNCTION("IMPORTRANGE(""https://docs.google.com/spreadsheets/d/1SX6NBoVAgQJ6U1MVXOaj8PK2l7WJ3RER9xtqwdhxkhw/edit?usp=sharing"",""ชลบุรี!J489"")"),0)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IFERROR(__xludf.DUMMYFUNCTION("IMPORTRANGE(""https://docs.google.com/spreadsheets/d/1SX6NBoVAgQJ6U1MVXOaj8PK2l7WJ3RER9xtqwdhxkhw/edit?usp=sharing"",""ชลบุรี!I490"")"),0)</f>
        <v>0</v>
      </c>
      <c r="J595" s="188">
        <f ca="1">IFERROR(__xludf.DUMMYFUNCTION("IMPORTRANGE(""https://docs.google.com/spreadsheets/d/1SX6NBoVAgQJ6U1MVXOaj8PK2l7WJ3RER9xtqwdhxkhw/edit?usp=sharing"",""ชลบุรี!J490"")"),0)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IFERROR(__xludf.DUMMYFUNCTION("IMPORTRANGE(""https://docs.google.com/spreadsheets/d/1SX6NBoVAgQJ6U1MVXOaj8PK2l7WJ3RER9xtqwdhxkhw/edit?usp=sharing"",""ชลบุรี!I491"")"),0)</f>
        <v>0</v>
      </c>
      <c r="J596" s="242">
        <f ca="1">IFERROR(__xludf.DUMMYFUNCTION("IMPORTRANGE(""https://docs.google.com/spreadsheets/d/1SX6NBoVAgQJ6U1MVXOaj8PK2l7WJ3RER9xtqwdhxkhw/edit?usp=sharing"",""ชลบุรี!J491"")"),0)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7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6.5934065934065931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IFERROR(__xludf.DUMMYFUNCTION("IMPORTRANGE(""https://docs.google.com/spreadsheets/d/1SX6NBoVAgQJ6U1MVXOaj8PK2l7WJ3RER9xtqwdhxkhw/edit?usp=sharing"",""ชลบุรี!L493"")"),0)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IFERROR(__xludf.DUMMYFUNCTION("IMPORTRANGE(""https://docs.google.com/spreadsheets/d/1SX6NBoVAgQJ6U1MVXOaj8PK2l7WJ3RER9xtqwdhxkhw/edit?usp=sharing"",""ชลบุรี!M493"")"),0)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IFERROR(__xludf.DUMMYFUNCTION("IMPORTRANGE(""https://docs.google.com/spreadsheets/d/1SX6NBoVAgQJ6U1MVXOaj8PK2l7WJ3RER9xtqwdhxkhw/edit?usp=sharing"",""ชลบุรี!L494"")"),4550)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IFERROR(__xludf.DUMMYFUNCTION("IMPORTRANGE(""https://docs.google.com/spreadsheets/d/1SX6NBoVAgQJ6U1MVXOaj8PK2l7WJ3RER9xtqwdhxkhw/edit?usp=sharing"",""ชลบุรี!M494"")"),300)</f>
        <v>300</v>
      </c>
      <c r="O599" s="169">
        <f t="shared" ca="1" si="126"/>
        <v>6.5934065934065931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IFERROR(__xludf.DUMMYFUNCTION("IMPORTRANGE(""https://docs.google.com/spreadsheets/d/1SX6NBoVAgQJ6U1MVXOaj8PK2l7WJ3RER9xtqwdhxkhw/edit?usp=sharing"",""ชลบุรี!L495"")"),0)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IFERROR(__xludf.DUMMYFUNCTION("IMPORTRANGE(""https://docs.google.com/spreadsheets/d/1SX6NBoVAgQJ6U1MVXOaj8PK2l7WJ3RER9xtqwdhxkhw/edit?usp=sharing"",""ชลบุรี!M495"")"),0)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IFERROR(__xludf.DUMMYFUNCTION("IMPORTRANGE(""https://docs.google.com/spreadsheets/d/1SX6NBoVAgQJ6U1MVXOaj8PK2l7WJ3RER9xtqwdhxkhw/edit?usp=sharing"",""ชลบุรี!L496"")"),4550)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IFERROR(__xludf.DUMMYFUNCTION("IMPORTRANGE(""https://docs.google.com/spreadsheets/d/1SX6NBoVAgQJ6U1MVXOaj8PK2l7WJ3RER9xtqwdhxkhw/edit?usp=sharing"",""ชลบุรี!M496"")"),300)</f>
        <v>300</v>
      </c>
      <c r="O601" s="169">
        <f t="shared" ca="1" si="126"/>
        <v>6.5934065934065931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IFERROR(__xludf.DUMMYFUNCTION("IMPORTRANGE(""https://docs.google.com/spreadsheets/d/1SX6NBoVAgQJ6U1MVXOaj8PK2l7WJ3RER9xtqwdhxkhw/edit?usp=sharing"",""ชลบุรี!M497"")"),0)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IFERROR(__xludf.DUMMYFUNCTION("IMPORTRANGE(""https://docs.google.com/spreadsheets/d/1SX6NBoVAgQJ6U1MVXOaj8PK2l7WJ3RER9xtqwdhxkhw/edit?usp=sharing"",""ชลบุรี!M498"")"),0)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IFERROR(__xludf.DUMMYFUNCTION("IMPORTRANGE(""https://docs.google.com/spreadsheets/d/1SX6NBoVAgQJ6U1MVXOaj8PK2l7WJ3RER9xtqwdhxkhw/edit?usp=sharing"",""ชลบุรี!J502"")"),0)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IFERROR(__xludf.DUMMYFUNCTION("IMPORTRANGE(""https://docs.google.com/spreadsheets/d/1SX6NBoVAgQJ6U1MVXOaj8PK2l7WJ3RER9xtqwdhxkhw/edit?usp=sharing"",""ชลบุรี!J503"")"),1)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IFERROR(__xludf.DUMMYFUNCTION("IMPORTRANGE(""https://docs.google.com/spreadsheets/d/1SX6NBoVAgQJ6U1MVXOaj8PK2l7WJ3RER9xtqwdhxkhw/edit?usp=sharing"",""ชลบุรี!J166"")"),0)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IFERROR(__xludf.DUMMYFUNCTION("IMPORTRANGE(""https://docs.google.com/spreadsheets/d/1SX6NBoVAgQJ6U1MVXOaj8PK2l7WJ3RER9xtqwdhxkhw/edit?usp=sharing"",""ชลบุรี!J166"")"),0)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IFERROR(__xludf.DUMMYFUNCTION("IMPORTRANGE(""https://docs.google.com/spreadsheets/d/1SX6NBoVAgQJ6U1MVXOaj8PK2l7WJ3RER9xtqwdhxkhw/edit?usp=sharing"",""ชลบุรี!I506"")"),50)</f>
        <v>50</v>
      </c>
      <c r="J611" s="162">
        <f ca="1">IFERROR(__xludf.DUMMYFUNCTION("IMPORTRANGE(""https://docs.google.com/spreadsheets/d/1SX6NBoVAgQJ6U1MVXOaj8PK2l7WJ3RER9xtqwdhxkhw/edit?usp=sharing"",""ชลบุรี!J506"")"),0)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IFERROR(__xludf.DUMMYFUNCTION("IMPORTRANGE(""https://docs.google.com/spreadsheets/d/1SX6NBoVAgQJ6U1MVXOaj8PK2l7WJ3RER9xtqwdhxkhw/edit?usp=sharing"",""ชลบุรี!I507"")"),0)</f>
        <v>0</v>
      </c>
      <c r="J612" s="198">
        <f ca="1">IFERROR(__xludf.DUMMYFUNCTION("IMPORTRANGE(""https://docs.google.com/spreadsheets/d/1SX6NBoVAgQJ6U1MVXOaj8PK2l7WJ3RER9xtqwdhxkhw/edit?usp=sharing"",""ชลบุรี!J507"")"),0)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IFERROR(__xludf.DUMMYFUNCTION("IMPORTRANGE(""https://docs.google.com/spreadsheets/d/1SX6NBoVAgQJ6U1MVXOaj8PK2l7WJ3RER9xtqwdhxkhw/edit?usp=sharing"",""ชลบุรี!I508"")"),0)</f>
        <v>0</v>
      </c>
      <c r="J613" s="198">
        <f ca="1">IFERROR(__xludf.DUMMYFUNCTION("IMPORTRANGE(""https://docs.google.com/spreadsheets/d/1SX6NBoVAgQJ6U1MVXOaj8PK2l7WJ3RER9xtqwdhxkhw/edit?usp=sharing"",""ชลบุรี!J508"")"),0)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IFERROR(__xludf.DUMMYFUNCTION("IMPORTRANGE(""https://docs.google.com/spreadsheets/d/1SX6NBoVAgQJ6U1MVXOaj8PK2l7WJ3RER9xtqwdhxkhw/edit?usp=sharing"",""ชลบุรี!I509"")"),0)</f>
        <v>0</v>
      </c>
      <c r="J614" s="198">
        <f ca="1">IFERROR(__xludf.DUMMYFUNCTION("IMPORTRANGE(""https://docs.google.com/spreadsheets/d/1SX6NBoVAgQJ6U1MVXOaj8PK2l7WJ3RER9xtqwdhxkhw/edit?usp=sharing"",""ชลบุรี!J509"")"),0)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IFERROR(__xludf.DUMMYFUNCTION("IMPORTRANGE(""https://docs.google.com/spreadsheets/d/1SX6NBoVAgQJ6U1MVXOaj8PK2l7WJ3RER9xtqwdhxkhw/edit?usp=sharing"",""ชลบุรี!I510"")"),0)</f>
        <v>0</v>
      </c>
      <c r="J615" s="198">
        <f ca="1">IFERROR(__xludf.DUMMYFUNCTION("IMPORTRANGE(""https://docs.google.com/spreadsheets/d/1SX6NBoVAgQJ6U1MVXOaj8PK2l7WJ3RER9xtqwdhxkhw/edit?usp=sharing"",""ชลบุรี!J510"")"),0)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IFERROR(__xludf.DUMMYFUNCTION("IMPORTRANGE(""https://docs.google.com/spreadsheets/d/1SX6NBoVAgQJ6U1MVXOaj8PK2l7WJ3RER9xtqwdhxkhw/edit?usp=sharing"",""ชลบุรี!I511"")"),0)</f>
        <v>0</v>
      </c>
      <c r="J616" s="198">
        <f ca="1">IFERROR(__xludf.DUMMYFUNCTION("IMPORTRANGE(""https://docs.google.com/spreadsheets/d/1SX6NBoVAgQJ6U1MVXOaj8PK2l7WJ3RER9xtqwdhxkhw/edit?usp=sharing"",""ชลบุรี!J511"")"),0)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IFERROR(__xludf.DUMMYFUNCTION("IMPORTRANGE(""https://docs.google.com/spreadsheets/d/1SX6NBoVAgQJ6U1MVXOaj8PK2l7WJ3RER9xtqwdhxkhw/edit?usp=sharing"",""ชลบุรี!I512"")"),0)</f>
        <v>0</v>
      </c>
      <c r="J617" s="188">
        <f ca="1">IFERROR(__xludf.DUMMYFUNCTION("IMPORTRANGE(""https://docs.google.com/spreadsheets/d/1SX6NBoVAgQJ6U1MVXOaj8PK2l7WJ3RER9xtqwdhxkhw/edit?usp=sharing"",""ชลบุรี!J512"")"),0)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IFERROR(__xludf.DUMMYFUNCTION("IMPORTRANGE(""https://docs.google.com/spreadsheets/d/1SX6NBoVAgQJ6U1MVXOaj8PK2l7WJ3RER9xtqwdhxkhw/edit?usp=sharing"",""ชลบุรี!I513"")"),0)</f>
        <v>0</v>
      </c>
      <c r="J618" s="189">
        <f ca="1">IFERROR(__xludf.DUMMYFUNCTION("IMPORTRANGE(""https://docs.google.com/spreadsheets/d/1SX6NBoVAgQJ6U1MVXOaj8PK2l7WJ3RER9xtqwdhxkhw/edit?usp=sharing"",""ชลบุรี!J513"")"),0)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IFERROR(__xludf.DUMMYFUNCTION("IMPORTRANGE(""https://docs.google.com/spreadsheets/d/1SX6NBoVAgQJ6U1MVXOaj8PK2l7WJ3RER9xtqwdhxkhw/edit?usp=sharing"",""ชลบุรี!I514"")"),0)</f>
        <v>0</v>
      </c>
      <c r="J619" s="189">
        <f ca="1">IFERROR(__xludf.DUMMYFUNCTION("IMPORTRANGE(""https://docs.google.com/spreadsheets/d/1SX6NBoVAgQJ6U1MVXOaj8PK2l7WJ3RER9xtqwdhxkhw/edit?usp=sharing"",""ชลบุรี!J514"")"),0)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IFERROR(__xludf.DUMMYFUNCTION("IMPORTRANGE(""https://docs.google.com/spreadsheets/d/1SX6NBoVAgQJ6U1MVXOaj8PK2l7WJ3RER9xtqwdhxkhw/edit?usp=sharing"",""ชลบุรี!I515"")"),0)</f>
        <v>0</v>
      </c>
      <c r="J620" s="203">
        <f ca="1">IFERROR(__xludf.DUMMYFUNCTION("IMPORTRANGE(""https://docs.google.com/spreadsheets/d/1SX6NBoVAgQJ6U1MVXOaj8PK2l7WJ3RER9xtqwdhxkhw/edit?usp=sharing"",""ชลบุรี!J515"")"),0)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IFERROR(__xludf.DUMMYFUNCTION("IMPORTRANGE(""https://docs.google.com/spreadsheets/d/1SX6NBoVAgQJ6U1MVXOaj8PK2l7WJ3RER9xtqwdhxkhw/edit?usp=sharing"",""ชลบุรี!I516"")"),0)</f>
        <v>0</v>
      </c>
      <c r="J621" s="203">
        <f ca="1">IFERROR(__xludf.DUMMYFUNCTION("IMPORTRANGE(""https://docs.google.com/spreadsheets/d/1SX6NBoVAgQJ6U1MVXOaj8PK2l7WJ3RER9xtqwdhxkhw/edit?usp=sharing"",""ชลบุรี!J516"")"),0)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IFERROR(__xludf.DUMMYFUNCTION("IMPORTRANGE(""https://docs.google.com/spreadsheets/d/1SX6NBoVAgQJ6U1MVXOaj8PK2l7WJ3RER9xtqwdhxkhw/edit?usp=sharing"",""ชลบุรี!I517"")"),0)</f>
        <v>0</v>
      </c>
      <c r="J622" s="189">
        <f ca="1">IFERROR(__xludf.DUMMYFUNCTION("IMPORTRANGE(""https://docs.google.com/spreadsheets/d/1SX6NBoVAgQJ6U1MVXOaj8PK2l7WJ3RER9xtqwdhxkhw/edit?usp=sharing"",""ชลบุรี!J517"")"),0)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IFERROR(__xludf.DUMMYFUNCTION("IMPORTRANGE(""https://docs.google.com/spreadsheets/d/1SX6NBoVAgQJ6U1MVXOaj8PK2l7WJ3RER9xtqwdhxkhw/edit?usp=sharing"",""ชลบุรี!I518"")"),0)</f>
        <v>0</v>
      </c>
      <c r="J623" s="189">
        <f ca="1">IFERROR(__xludf.DUMMYFUNCTION("IMPORTRANGE(""https://docs.google.com/spreadsheets/d/1SX6NBoVAgQJ6U1MVXOaj8PK2l7WJ3RER9xtqwdhxkhw/edit?usp=sharing"",""ชลบุรี!J518"")"),0)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IFERROR(__xludf.DUMMYFUNCTION("IMPORTRANGE(""https://docs.google.com/spreadsheets/d/1SX6NBoVAgQJ6U1MVXOaj8PK2l7WJ3RER9xtqwdhxkhw/edit?usp=sharing"",""ชลบุรี!I519"")"),0)</f>
        <v>0</v>
      </c>
      <c r="J624" s="188">
        <f ca="1">IFERROR(__xludf.DUMMYFUNCTION("IMPORTRANGE(""https://docs.google.com/spreadsheets/d/1SX6NBoVAgQJ6U1MVXOaj8PK2l7WJ3RER9xtqwdhxkhw/edit?usp=sharing"",""ชลบุรี!J519"")"),0)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IFERROR(__xludf.DUMMYFUNCTION("IMPORTRANGE(""https://docs.google.com/spreadsheets/d/1SX6NBoVAgQJ6U1MVXOaj8PK2l7WJ3RER9xtqwdhxkhw/edit?usp=sharing"",""ชลบุรี!I520"")"),0)</f>
        <v>0</v>
      </c>
      <c r="J625" s="189">
        <f ca="1">IFERROR(__xludf.DUMMYFUNCTION("IMPORTRANGE(""https://docs.google.com/spreadsheets/d/1SX6NBoVAgQJ6U1MVXOaj8PK2l7WJ3RER9xtqwdhxkhw/edit?usp=sharing"",""ชลบุรี!J520"")"),0)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IFERROR(__xludf.DUMMYFUNCTION("IMPORTRANGE(""https://docs.google.com/spreadsheets/d/1SX6NBoVAgQJ6U1MVXOaj8PK2l7WJ3RER9xtqwdhxkhw/edit?usp=sharing"",""ชลบุรี!I521"")"),0)</f>
        <v>0</v>
      </c>
      <c r="J626" s="189">
        <f ca="1">IFERROR(__xludf.DUMMYFUNCTION("IMPORTRANGE(""https://docs.google.com/spreadsheets/d/1SX6NBoVAgQJ6U1MVXOaj8PK2l7WJ3RER9xtqwdhxkhw/edit?usp=sharing"",""ชลบุรี!J521"")"),0)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2">
        <f ca="1">IFERROR(__xludf.DUMMYFUNCTION("IMPORTRANGE(""https://docs.google.com/spreadsheets/d/1SX6NBoVAgQJ6U1MVXOaj8PK2l7WJ3RER9xtqwdhxkhw/edit?usp=sharing"",""ชลบุรี!J523"")"),5149669.64)</f>
        <v>5149669.6399999997</v>
      </c>
      <c r="K628" s="343">
        <f t="shared" ref="K628:K635" ca="1" si="129">IF(I628&gt;0,J628*100/I628,0)</f>
        <v>51.72599961844454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IFERROR(__xludf.DUMMYFUNCTION("IMPORTRANGE(""https://docs.google.com/spreadsheets/d/1SX6NBoVAgQJ6U1MVXOaj8PK2l7WJ3RER9xtqwdhxkhw/edit?usp=sharing"",""ชลบุรี!I524"")"),249)</f>
        <v>249</v>
      </c>
      <c r="J629" s="342">
        <f ca="1">IFERROR(__xludf.DUMMYFUNCTION("IMPORTRANGE(""https://docs.google.com/spreadsheets/d/1SX6NBoVAgQJ6U1MVXOaj8PK2l7WJ3RER9xtqwdhxkhw/edit?usp=sharing"",""ชลบุรี!J524"")"),111)</f>
        <v>111</v>
      </c>
      <c r="K629" s="343">
        <f t="shared" ca="1" si="129"/>
        <v>44.578313253012048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IFERROR(__xludf.DUMMYFUNCTION("IMPORTRANGE(""https://docs.google.com/spreadsheets/d/1SX6NBoVAgQJ6U1MVXOaj8PK2l7WJ3RER9xtqwdhxkhw/edit?usp=sharing"",""ชลบุรี!I525"")"),186084.82)</f>
        <v>186084.82</v>
      </c>
      <c r="J630" s="342">
        <f ca="1">IFERROR(__xludf.DUMMYFUNCTION("IMPORTRANGE(""https://docs.google.com/spreadsheets/d/1SX6NBoVAgQJ6U1MVXOaj8PK2l7WJ3RER9xtqwdhxkhw/edit?usp=sharing"",""ชลบุรี!J525"")"),164263.16)</f>
        <v>164263.16</v>
      </c>
      <c r="K630" s="343">
        <f t="shared" ca="1" si="129"/>
        <v>88.273272371169227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IFERROR(__xludf.DUMMYFUNCTION("IMPORTRANGE(""https://docs.google.com/spreadsheets/d/1SX6NBoVAgQJ6U1MVXOaj8PK2l7WJ3RER9xtqwdhxkhw/edit?usp=sharing"",""ชลบุรี!I526"")"),7)</f>
        <v>7</v>
      </c>
      <c r="J631" s="342">
        <f ca="1">IFERROR(__xludf.DUMMYFUNCTION("IMPORTRANGE(""https://docs.google.com/spreadsheets/d/1SX6NBoVAgQJ6U1MVXOaj8PK2l7WJ3RER9xtqwdhxkhw/edit?usp=sharing"",""ชลบุรี!J526"")"),7)</f>
        <v>7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IFERROR(__xludf.DUMMYFUNCTION("IMPORTRANGE(""https://docs.google.com/spreadsheets/d/1SX6NBoVAgQJ6U1MVXOaj8PK2l7WJ3RER9xtqwdhxkhw/edit?usp=sharing"",""ชลบุรี!I527"")"),0)</f>
        <v>0</v>
      </c>
      <c r="J632" s="342">
        <f ca="1">IFERROR(__xludf.DUMMYFUNCTION("IMPORTRANGE(""https://docs.google.com/spreadsheets/d/1SX6NBoVAgQJ6U1MVXOaj8PK2l7WJ3RER9xtqwdhxkhw/edit?usp=sharing"",""ชลบุรี!J527"")"),0)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IFERROR(__xludf.DUMMYFUNCTION("IMPORTRANGE(""https://docs.google.com/spreadsheets/d/1SX6NBoVAgQJ6U1MVXOaj8PK2l7WJ3RER9xtqwdhxkhw/edit?usp=sharing"",""ชลบุรี!I528"")"),0)</f>
        <v>0</v>
      </c>
      <c r="J633" s="342">
        <f ca="1">IFERROR(__xludf.DUMMYFUNCTION("IMPORTRANGE(""https://docs.google.com/spreadsheets/d/1SX6NBoVAgQJ6U1MVXOaj8PK2l7WJ3RER9xtqwdhxkhw/edit?usp=sharing"",""ชลบุรี!J528"")"),0)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IFERROR(__xludf.DUMMYFUNCTION("IMPORTRANGE(""https://docs.google.com/spreadsheets/d/1SX6NBoVAgQJ6U1MVXOaj8PK2l7WJ3RER9xtqwdhxkhw/edit?usp=sharing"",""ชลบุรี!I529"")"),5530000)</f>
        <v>5530000</v>
      </c>
      <c r="J634" s="342">
        <f ca="1">IFERROR(__xludf.DUMMYFUNCTION("IMPORTRANGE(""https://docs.google.com/spreadsheets/d/1SX6NBoVAgQJ6U1MVXOaj8PK2l7WJ3RER9xtqwdhxkhw/edit?usp=sharing"",""ชลบุรี!J529"")"),3260000)</f>
        <v>3260000</v>
      </c>
      <c r="K634" s="343">
        <f t="shared" ca="1" si="129"/>
        <v>58.951175406871613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IFERROR(__xludf.DUMMYFUNCTION("IMPORTRANGE(""https://docs.google.com/spreadsheets/d/1SX6NBoVAgQJ6U1MVXOaj8PK2l7WJ3RER9xtqwdhxkhw/edit?usp=sharing"",""ชลบุรี!I530"")"),115)</f>
        <v>115</v>
      </c>
      <c r="J635" s="504">
        <f ca="1">IFERROR(__xludf.DUMMYFUNCTION("IMPORTRANGE(""https://docs.google.com/spreadsheets/d/1SX6NBoVAgQJ6U1MVXOaj8PK2l7WJ3RER9xtqwdhxkhw/edit?usp=sharing"",""ชลบุรี!J530"")"),66)</f>
        <v>66</v>
      </c>
      <c r="K635" s="486">
        <f t="shared" ca="1" si="129"/>
        <v>57.391304347826086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IFERROR(__xludf.DUMMYFUNCTION("IMPORTRANGE(""https://docs.google.com/spreadsheets/d/1SX6NBoVAgQJ6U1MVXOaj8PK2l7WJ3RER9xtqwdhxkhw/edit#gid=346597447"",""ชลบุรี!J541"")"),0)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IFERROR(__xludf.DUMMYFUNCTION("IMPORTRANGE(""https://docs.google.com/spreadsheets/d/1SX6NBoVAgQJ6U1MVXOaj8PK2l7WJ3RER9xtqwdhxkhw/edit#gid=346597447"",""ชลบุรี!J542"")"),0)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IFERROR(__xludf.DUMMYFUNCTION("IMPORTRANGE(""https://docs.google.com/spreadsheets/d/1SX6NBoVAgQJ6U1MVXOaj8PK2l7WJ3RER9xtqwdhxkhw/edit#gid=346597447"",""ชลบุรี!I543"")"),0)</f>
        <v>0</v>
      </c>
      <c r="J648" s="536">
        <f ca="1">IFERROR(__xludf.DUMMYFUNCTION("IMPORTRANGE(""https://docs.google.com/spreadsheets/d/1SX6NBoVAgQJ6U1MVXOaj8PK2l7WJ3RER9xtqwdhxkhw/edit#gid=346597447"",""ชลบุรี!J543"")"),0)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IFERROR(__xludf.DUMMYFUNCTION("IMPORTRANGE(""https://docs.google.com/spreadsheets/d/1SX6NBoVAgQJ6U1MVXOaj8PK2l7WJ3RER9xtqwdhxkhw/edit#gid=346597447"",""ชลบุรี!L543"")"),0)</f>
        <v>0</v>
      </c>
      <c r="M648" s="521"/>
      <c r="N648" s="538">
        <f ca="1">IFERROR(__xludf.DUMMYFUNCTION("IMPORTRANGE(""https://docs.google.com/spreadsheets/d/1SX6NBoVAgQJ6U1MVXOaj8PK2l7WJ3RER9xtqwdhxkhw/edit#gid=346597447"",""ชลบุรี!M543"")"),0)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IFERROR(__xludf.DUMMYFUNCTION("IMPORTRANGE(""https://docs.google.com/spreadsheets/d/1SX6NBoVAgQJ6U1MVXOaj8PK2l7WJ3RER9xtqwdhxkhw/edit#gid=346597447"",""ชลบุรี!I544"")"),0)</f>
        <v>0</v>
      </c>
      <c r="J649" s="536">
        <f ca="1">IFERROR(__xludf.DUMMYFUNCTION("IMPORTRANGE(""https://docs.google.com/spreadsheets/d/1SX6NBoVAgQJ6U1MVXOaj8PK2l7WJ3RER9xtqwdhxkhw/edit#gid=346597447"",""ชลบุรี!J544"")"),0)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IFERROR(__xludf.DUMMYFUNCTION("IMPORTRANGE(""https://docs.google.com/spreadsheets/d/1SX6NBoVAgQJ6U1MVXOaj8PK2l7WJ3RER9xtqwdhxkhw/edit#gid=346597447"",""ชลบุรี!L544"")"),0)</f>
        <v>0</v>
      </c>
      <c r="M649" s="521"/>
      <c r="N649" s="538">
        <f ca="1">IFERROR(__xludf.DUMMYFUNCTION("IMPORTRANGE(""https://docs.google.com/spreadsheets/d/1SX6NBoVAgQJ6U1MVXOaj8PK2l7WJ3RER9xtqwdhxkhw/edit#gid=346597447"",""ชลบุรี!M544"")"),0)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IFERROR(__xludf.DUMMYFUNCTION("IMPORTRANGE(""https://docs.google.com/spreadsheets/d/1SX6NBoVAgQJ6U1MVXOaj8PK2l7WJ3RER9xtqwdhxkhw/edit#gid=346597447"",""ชลบุรี!I545"")"),0)</f>
        <v>0</v>
      </c>
      <c r="J650" s="536">
        <f ca="1">IFERROR(__xludf.DUMMYFUNCTION("IMPORTRANGE(""https://docs.google.com/spreadsheets/d/1SX6NBoVAgQJ6U1MVXOaj8PK2l7WJ3RER9xtqwdhxkhw/edit#gid=346597447"",""ชลบุรี!J545"")"),0)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IFERROR(__xludf.DUMMYFUNCTION("IMPORTRANGE(""https://docs.google.com/spreadsheets/d/1SX6NBoVAgQJ6U1MVXOaj8PK2l7WJ3RER9xtqwdhxkhw/edit#gid=346597447"",""ชลบุรี!L545"")"),0)</f>
        <v>0</v>
      </c>
      <c r="M650" s="521"/>
      <c r="N650" s="538">
        <f ca="1">IFERROR(__xludf.DUMMYFUNCTION("IMPORTRANGE(""https://docs.google.com/spreadsheets/d/1SX6NBoVAgQJ6U1MVXOaj8PK2l7WJ3RER9xtqwdhxkhw/edit#gid=346597447"",""ชลบุรี!M545"")"),0)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IFERROR(__xludf.DUMMYFUNCTION("IMPORTRANGE(""https://docs.google.com/spreadsheets/d/1SX6NBoVAgQJ6U1MVXOaj8PK2l7WJ3RER9xtqwdhxkhw/edit#gid=346597447"",""ชลบุรี!I546"")"),0)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IFERROR(__xludf.DUMMYFUNCTION("IMPORTRANGE(""https://docs.google.com/spreadsheets/d/1SX6NBoVAgQJ6U1MVXOaj8PK2l7WJ3RER9xtqwdhxkhw/edit#gid=346597447"",""ชลบุรี!L546"")"),0)</f>
        <v>0</v>
      </c>
      <c r="M651" s="521"/>
      <c r="N651" s="538">
        <f ca="1">IFERROR(__xludf.DUMMYFUNCTION("IMPORTRANGE(""https://docs.google.com/spreadsheets/d/1SX6NBoVAgQJ6U1MVXOaj8PK2l7WJ3RER9xtqwdhxkhw/edit#gid=346597447"",""ชลบุรี!M546"")"),0)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IFERROR(__xludf.DUMMYFUNCTION("IMPORTRANGE(""https://docs.google.com/spreadsheets/d/1SX6NBoVAgQJ6U1MVXOaj8PK2l7WJ3RER9xtqwdhxkhw/edit#gid=346597447"",""ชลบุรี!J547"")"),0)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IFERROR(__xludf.DUMMYFUNCTION("IMPORTRANGE(""https://docs.google.com/spreadsheets/d/1SX6NBoVAgQJ6U1MVXOaj8PK2l7WJ3RER9xtqwdhxkhw/edit#gid=346597447"",""ชลบุรี!J548"")"),0)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IFERROR(__xludf.DUMMYFUNCTION("IMPORTRANGE(""https://docs.google.com/spreadsheets/d/1SX6NBoVAgQJ6U1MVXOaj8PK2l7WJ3RER9xtqwdhxkhw/edit#gid=346597447"",""ชลบุรี!J550"")"),0)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IFERROR(__xludf.DUMMYFUNCTION("IMPORTRANGE(""https://docs.google.com/spreadsheets/d/1SX6NBoVAgQJ6U1MVXOaj8PK2l7WJ3RER9xtqwdhxkhw/edit#gid=346597447"",""ชลบุรี!J551"")"),0)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IFERROR(__xludf.DUMMYFUNCTION("IMPORTRANGE(""https://docs.google.com/spreadsheets/d/1SX6NBoVAgQJ6U1MVXOaj8PK2l7WJ3RER9xtqwdhxkhw/edit#gid=346597447"",""ชลบุรี!J552"")"),0)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IFERROR(__xludf.DUMMYFUNCTION("IMPORTRANGE(""https://docs.google.com/spreadsheets/d/1SX6NBoVAgQJ6U1MVXOaj8PK2l7WJ3RER9xtqwdhxkhw/edit#gid=346597447"",""ชลบุรี!J553"")"),0)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IFERROR(__xludf.DUMMYFUNCTION("IMPORTRANGE(""https://docs.google.com/spreadsheets/d/1SX6NBoVAgQJ6U1MVXOaj8PK2l7WJ3RER9xtqwdhxkhw/edit#gid=346597447"",""ชลบุรี!J554"")"),0)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IFERROR(__xludf.DUMMYFUNCTION("IMPORTRANGE(""https://docs.google.com/spreadsheets/d/1SX6NBoVAgQJ6U1MVXOaj8PK2l7WJ3RER9xtqwdhxkhw/edit#gid=346597447"",""ชลบุรี!J555"")"),0)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IFERROR(__xludf.DUMMYFUNCTION("IMPORTRANGE(""https://docs.google.com/spreadsheets/d/1SX6NBoVAgQJ6U1MVXOaj8PK2l7WJ3RER9xtqwdhxkhw/edit#gid=346597447"",""ชลบุรี!J556"")"),0)</f>
        <v>0</v>
      </c>
      <c r="K661" s="537"/>
      <c r="L661" s="522">
        <f ca="1">IFERROR(__xludf.DUMMYFUNCTION("IMPORTRANGE(""https://docs.google.com/spreadsheets/d/1SX6NBoVAgQJ6U1MVXOaj8PK2l7WJ3RER9xtqwdhxkhw/edit#gid=346597447"",""ชลบุรี!L556"")"),0)</f>
        <v>0</v>
      </c>
      <c r="M661" s="521"/>
      <c r="N661" s="538">
        <f ca="1">IFERROR(__xludf.DUMMYFUNCTION("IMPORTRANGE(""https://docs.google.com/spreadsheets/d/1SX6NBoVAgQJ6U1MVXOaj8PK2l7WJ3RER9xtqwdhxkhw/edit#gid=346597447"",""ชลบุรี!M556"")"),0)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IFERROR(__xludf.DUMMYFUNCTION("IMPORTRANGE(""https://docs.google.com/spreadsheets/d/1SX6NBoVAgQJ6U1MVXOaj8PK2l7WJ3RER9xtqwdhxkhw/edit#gid=346597447"",""ชลบุรี!J557"")"),0)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IFERROR(__xludf.DUMMYFUNCTION("IMPORTRANGE(""https://docs.google.com/spreadsheets/d/1SX6NBoVAgQJ6U1MVXOaj8PK2l7WJ3RER9xtqwdhxkhw/edit#gid=346597447"",""ชลบุรี!I558"")"),0)</f>
        <v>0</v>
      </c>
      <c r="J663" s="536">
        <f ca="1">IFERROR(__xludf.DUMMYFUNCTION("IMPORTRANGE(""https://docs.google.com/spreadsheets/d/1SX6NBoVAgQJ6U1MVXOaj8PK2l7WJ3RER9xtqwdhxkhw/edit#gid=346597447"",""ชลบุรี!J558"")"),0)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IFERROR(__xludf.DUMMYFUNCTION("IMPORTRANGE(""https://docs.google.com/spreadsheets/d/1SX6NBoVAgQJ6U1MVXOaj8PK2l7WJ3RER9xtqwdhxkhw/edit#gid=346597447"",""ชลบุรี!I560"")"),0)</f>
        <v>0</v>
      </c>
      <c r="J665" s="536">
        <f ca="1">IFERROR(__xludf.DUMMYFUNCTION("IMPORTRANGE(""https://docs.google.com/spreadsheets/d/1SX6NBoVAgQJ6U1MVXOaj8PK2l7WJ3RER9xtqwdhxkhw/edit#gid=346597447"",""ชลบุรี!J560"")"),0)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IFERROR(__xludf.DUMMYFUNCTION("IMPORTRANGE(""https://docs.google.com/spreadsheets/d/1SX6NBoVAgQJ6U1MVXOaj8PK2l7WJ3RER9xtqwdhxkhw/edit#gid=346597447"",""ชลบุรี!L560"")"),0)</f>
        <v>0</v>
      </c>
      <c r="M665" s="521"/>
      <c r="N665" s="538">
        <f ca="1">IFERROR(__xludf.DUMMYFUNCTION("IMPORTRANGE(""https://docs.google.com/spreadsheets/d/1SX6NBoVAgQJ6U1MVXOaj8PK2l7WJ3RER9xtqwdhxkhw/edit#gid=346597447"",""ชลบุรี!M560"")"),0)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IFERROR(__xludf.DUMMYFUNCTION("IMPORTRANGE(""https://docs.google.com/spreadsheets/d/1SX6NBoVAgQJ6U1MVXOaj8PK2l7WJ3RER9xtqwdhxkhw/edit#gid=346597447"",""ชลบุรี!J561"")"),0)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IFERROR(__xludf.DUMMYFUNCTION("IMPORTRANGE(""https://docs.google.com/spreadsheets/d/1SX6NBoVAgQJ6U1MVXOaj8PK2l7WJ3RER9xtqwdhxkhw/edit#gid=346597447"",""ชลบุรี!J562"")"),0)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IFERROR(__xludf.DUMMYFUNCTION("IMPORTRANGE(""https://docs.google.com/spreadsheets/d/1SX6NBoVAgQJ6U1MVXOaj8PK2l7WJ3RER9xtqwdhxkhw/edit#gid=346597447"",""ชลบุรี!I563"")"),0)</f>
        <v>0</v>
      </c>
      <c r="J668" s="536">
        <f ca="1">IFERROR(__xludf.DUMMYFUNCTION("IMPORTRANGE(""https://docs.google.com/spreadsheets/d/1SX6NBoVAgQJ6U1MVXOaj8PK2l7WJ3RER9xtqwdhxkhw/edit#gid=346597447"",""ชลบุรี!J563"")"),0)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IFERROR(__xludf.DUMMYFUNCTION("IMPORTRANGE(""https://docs.google.com/spreadsheets/d/1SX6NBoVAgQJ6U1MVXOaj8PK2l7WJ3RER9xtqwdhxkhw/edit#gid=346597447"",""ชลบุรี!L563"")"),0)</f>
        <v>0</v>
      </c>
      <c r="M668" s="521"/>
      <c r="N668" s="538">
        <f ca="1">IFERROR(__xludf.DUMMYFUNCTION("IMPORTRANGE(""https://docs.google.com/spreadsheets/d/1SX6NBoVAgQJ6U1MVXOaj8PK2l7WJ3RER9xtqwdhxkhw/edit#gid=346597447"",""ชลบุรี!M563"")"),0)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IFERROR(__xludf.DUMMYFUNCTION("IMPORTRANGE(""https://docs.google.com/spreadsheets/d/1SX6NBoVAgQJ6U1MVXOaj8PK2l7WJ3RER9xtqwdhxkhw/edit#gid=346597447"",""ชลบุรี!J564"")"),0)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IFERROR(__xludf.DUMMYFUNCTION("IMPORTRANGE(""https://docs.google.com/spreadsheets/d/1SX6NBoVAgQJ6U1MVXOaj8PK2l7WJ3RER9xtqwdhxkhw/edit#gid=346597447"",""ชลบุรี!J565"")"),0)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IFERROR(__xludf.DUMMYFUNCTION("IMPORTRANGE(""https://docs.google.com/spreadsheets/d/1SX6NBoVAgQJ6U1MVXOaj8PK2l7WJ3RER9xtqwdhxkhw/edit#gid=346597447"",""ชลบุรี!I566"")"),0)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IFERROR(__xludf.DUMMYFUNCTION("IMPORTRANGE(""https://docs.google.com/spreadsheets/d/1SX6NBoVAgQJ6U1MVXOaj8PK2l7WJ3RER9xtqwdhxkhw/edit#gid=346597447"",""ชลบุรี!L566"")"),0)</f>
        <v>0</v>
      </c>
      <c r="M671" s="521"/>
      <c r="N671" s="538">
        <f ca="1">IFERROR(__xludf.DUMMYFUNCTION("IMPORTRANGE(""https://docs.google.com/spreadsheets/d/1SX6NBoVAgQJ6U1MVXOaj8PK2l7WJ3RER9xtqwdhxkhw/edit#gid=346597447"",""ชลบุรี!M566"")"),0)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IFERROR(__xludf.DUMMYFUNCTION("IMPORTRANGE(""https://docs.google.com/spreadsheets/d/1SX6NBoVAgQJ6U1MVXOaj8PK2l7WJ3RER9xtqwdhxkhw/edit#gid=346597447"",""ชลบุรี!J567"")"),0)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IFERROR(__xludf.DUMMYFUNCTION("IMPORTRANGE(""https://docs.google.com/spreadsheets/d/1SX6NBoVAgQJ6U1MVXOaj8PK2l7WJ3RER9xtqwdhxkhw/edit#gid=346597447"",""ชลบุรี!J568"")"),0)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IFERROR(__xludf.DUMMYFUNCTION("IMPORTRANGE(""https://docs.google.com/spreadsheets/d/1SX6NBoVAgQJ6U1MVXOaj8PK2l7WJ3RER9xtqwdhxkhw/edit#gid=346597447"",""ชลบุรี!J569"")"),0)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IFERROR(__xludf.DUMMYFUNCTION("IMPORTRANGE(""https://docs.google.com/spreadsheets/d/1SX6NBoVAgQJ6U1MVXOaj8PK2l7WJ3RER9xtqwdhxkhw/edit#gid=346597447"",""ชลบุรี!J570"")"),0)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IFERROR(__xludf.DUMMYFUNCTION("IMPORTRANGE(""https://docs.google.com/spreadsheets/d/1SX6NBoVAgQJ6U1MVXOaj8PK2l7WJ3RER9xtqwdhxkhw/edit#gid=346597447"",""ชลบุรี!J571"")"),0)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IFERROR(__xludf.DUMMYFUNCTION("IMPORTRANGE(""https://docs.google.com/spreadsheets/d/1SX6NBoVAgQJ6U1MVXOaj8PK2l7WJ3RER9xtqwdhxkhw/edit#gid=346597447"",""ชลบุรี!J572"")"),0)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268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3431069</v>
      </c>
      <c r="M8" s="23">
        <f t="shared" ca="1" si="0"/>
        <v>2040207.12</v>
      </c>
      <c r="N8" s="23">
        <f t="shared" ca="1" si="0"/>
        <v>2099012.4</v>
      </c>
      <c r="O8" s="22">
        <f t="shared" ref="O8:O16" ca="1" si="1">IF(L8&gt;0,N8*100/L8,0)</f>
        <v>61.17663037379895</v>
      </c>
      <c r="P8" s="22">
        <f t="shared" ref="P8:P16" ca="1" si="2">IF(M8&gt;0,N8*100/M8,0)</f>
        <v>102.88231912454064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3431069</v>
      </c>
      <c r="M10" s="30">
        <f t="shared" ca="1" si="4"/>
        <v>2040207.12</v>
      </c>
      <c r="N10" s="30">
        <f t="shared" ca="1" si="4"/>
        <v>2099012.4</v>
      </c>
      <c r="O10" s="29">
        <f t="shared" ca="1" si="1"/>
        <v>61.17663037379895</v>
      </c>
      <c r="P10" s="29">
        <f t="shared" ca="1" si="2"/>
        <v>102.88231912454064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3292069</v>
      </c>
      <c r="M12" s="38">
        <f t="shared" ca="1" si="6"/>
        <v>1901207.12</v>
      </c>
      <c r="N12" s="38">
        <f t="shared" ca="1" si="6"/>
        <v>1960012.4</v>
      </c>
      <c r="O12" s="38">
        <f t="shared" ca="1" si="1"/>
        <v>59.537403377632728</v>
      </c>
      <c r="P12" s="38">
        <f t="shared" ca="1" si="2"/>
        <v>103.09304964100912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1582800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1709269</v>
      </c>
      <c r="M14" s="38">
        <f t="shared" si="8"/>
        <v>0</v>
      </c>
      <c r="N14" s="38">
        <f t="shared" ca="1" si="8"/>
        <v>507925</v>
      </c>
      <c r="O14" s="38">
        <f t="shared" ca="1" si="1"/>
        <v>29.715919495410027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2597395</v>
      </c>
      <c r="M18" s="23">
        <f t="shared" ca="1" si="11"/>
        <v>2040207.12</v>
      </c>
      <c r="N18" s="23">
        <f t="shared" ca="1" si="11"/>
        <v>1591087.4</v>
      </c>
      <c r="O18" s="22">
        <f t="shared" ref="O18:O20" ca="1" si="12">IF(L18&gt;0,N18*100/L18,0)</f>
        <v>61.257044076853923</v>
      </c>
      <c r="P18" s="22">
        <f t="shared" ref="P18:P26" ca="1" si="13">IF(M18&gt;0,N18*100/M18,0)</f>
        <v>77.986562462344509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2597395</v>
      </c>
      <c r="M20" s="30">
        <f t="shared" ca="1" si="15"/>
        <v>2040207.12</v>
      </c>
      <c r="N20" s="30">
        <f t="shared" ca="1" si="15"/>
        <v>1591087.4</v>
      </c>
      <c r="O20" s="29">
        <f t="shared" ca="1" si="12"/>
        <v>61.257044076853923</v>
      </c>
      <c r="P20" s="29">
        <f t="shared" ca="1" si="13"/>
        <v>77.986562462344509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2458395</v>
      </c>
      <c r="M22" s="41">
        <f t="shared" ca="1" si="18"/>
        <v>1901207.12</v>
      </c>
      <c r="N22" s="38">
        <f t="shared" ca="1" si="18"/>
        <v>1452087.4</v>
      </c>
      <c r="O22" s="38">
        <f t="shared" ca="1" si="17"/>
        <v>59.06648036625522</v>
      </c>
      <c r="P22" s="38">
        <f t="shared" ca="1" si="13"/>
        <v>76.377128232088666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1582800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875595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833674</v>
      </c>
      <c r="M28" s="23">
        <f t="shared" si="23"/>
        <v>0</v>
      </c>
      <c r="N28" s="23">
        <f t="shared" ca="1" si="23"/>
        <v>507925</v>
      </c>
      <c r="O28" s="22">
        <f t="shared" ref="O28:O30" ca="1" si="24">IF(L28&gt;0,N28*100/L28,0)</f>
        <v>60.926093413012758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833674</v>
      </c>
      <c r="M30" s="30">
        <f t="shared" si="27"/>
        <v>0</v>
      </c>
      <c r="N30" s="30">
        <f t="shared" ca="1" si="27"/>
        <v>507925</v>
      </c>
      <c r="O30" s="29">
        <f t="shared" ca="1" si="24"/>
        <v>60.926093413012758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833674</v>
      </c>
      <c r="M32" s="38">
        <f t="shared" si="30"/>
        <v>0</v>
      </c>
      <c r="N32" s="38">
        <f t="shared" ca="1" si="30"/>
        <v>507925</v>
      </c>
      <c r="O32" s="38">
        <f t="shared" ca="1" si="29"/>
        <v>60.926093413012758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833674</v>
      </c>
      <c r="M34" s="38">
        <f t="shared" si="32"/>
        <v>0</v>
      </c>
      <c r="N34" s="38">
        <f t="shared" ca="1" si="32"/>
        <v>507925</v>
      </c>
      <c r="O34" s="38">
        <f t="shared" ca="1" si="29"/>
        <v>60.926093413012758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2597395</v>
      </c>
      <c r="M37" s="54">
        <f t="shared" ca="1" si="33"/>
        <v>2040207.12</v>
      </c>
      <c r="N37" s="54">
        <f t="shared" ca="1" si="33"/>
        <v>1591087.4</v>
      </c>
      <c r="O37" s="55">
        <f t="shared" ca="1" si="29"/>
        <v>61.257044076853923</v>
      </c>
      <c r="P37" s="55">
        <f t="shared" ca="1" si="25"/>
        <v>77.986562462344509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620000</v>
      </c>
      <c r="M41" s="78">
        <f t="shared" ca="1" si="34"/>
        <v>465100</v>
      </c>
      <c r="N41" s="78">
        <f t="shared" ca="1" si="34"/>
        <v>373852.14</v>
      </c>
      <c r="O41" s="77">
        <f t="shared" ref="O41:O43" ca="1" si="35">IF(L41&gt;0,N41*100/L41,0)</f>
        <v>60.298732258064518</v>
      </c>
      <c r="P41" s="77">
        <f t="shared" ref="P41:P43" ca="1" si="36">IF(M41&gt;0,N41*100/M41,0)</f>
        <v>80.381023435820254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620000</v>
      </c>
      <c r="M43" s="78">
        <f t="shared" ca="1" si="38"/>
        <v>465100</v>
      </c>
      <c r="N43" s="78">
        <f t="shared" ca="1" si="38"/>
        <v>373852.14</v>
      </c>
      <c r="O43" s="77">
        <f t="shared" ca="1" si="35"/>
        <v>60.298732258064518</v>
      </c>
      <c r="P43" s="77">
        <f t="shared" ca="1" si="36"/>
        <v>80.381023435820254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620000</v>
      </c>
      <c r="M45" s="49">
        <f ca="1">IFERROR(__xludf.DUMMYFUNCTION("IMPORTRANGE(""https://docs.google.com/spreadsheets/d/1Yj_ptqi66GCucihVvJfMjLAmec39IyEx_6qawtMGysU/edit?usp=sharing"",""สบก!Q63"")"),465100)</f>
        <v>465100</v>
      </c>
      <c r="N45" s="49">
        <f ca="1">IFERROR(__xludf.DUMMYFUNCTION("IMPORTRANGE(""https://docs.google.com/spreadsheets/d/1Yj_ptqi66GCucihVvJfMjLAmec39IyEx_6qawtMGysU/edit?usp=sharing"",""สบก!R63"")"),373852.14)</f>
        <v>373852.14</v>
      </c>
      <c r="O45" s="38">
        <f ca="1">IF(L45&gt;0,N45*100/L45,0)</f>
        <v>60.298732258064518</v>
      </c>
      <c r="P45" s="38">
        <f ca="1">IF(M45&gt;0,N45*100/M45,0)</f>
        <v>80.381023435820254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IFERROR(__xludf.DUMMYFUNCTION("IMPORTRANGE(""https://docs.google.com/spreadsheets/d/1Yj_ptqi66GCucihVvJfMjLAmec39IyEx_6qawtMGysU/edit?usp=sharing"",""สบก!M63"")"),620000)</f>
        <v>620000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IFERROR(__xludf.DUMMYFUNCTION("IMPORTRANGE(""https://docs.google.com/spreadsheets/d/1Yj_ptqi66GCucihVvJfMjLAmec39IyEx_6qawtMGysU/edit?usp=sharing"",""สบก!O63"")"),0)</f>
        <v>0</v>
      </c>
      <c r="M49" s="49"/>
      <c r="N49" s="49">
        <f ca="1">IFERROR(__xludf.DUMMYFUNCTION("IMPORTRANGE(""https://docs.google.com/spreadsheets/d/1Yj_ptqi66GCucihVvJfMjLAmec39IyEx_6qawtMGysU/edit?usp=sharing"",""สบก!S63"")"),0)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355200</v>
      </c>
      <c r="M53" s="121">
        <f t="shared" ca="1" si="39"/>
        <v>280187.12</v>
      </c>
      <c r="N53" s="121">
        <f t="shared" ca="1" si="39"/>
        <v>205153</v>
      </c>
      <c r="O53" s="120">
        <f t="shared" ref="O53:O55" ca="1" si="40">IF(L53&gt;0,N53*100/L53,0)</f>
        <v>57.757038288288285</v>
      </c>
      <c r="P53" s="120">
        <f t="shared" ref="P53:P55" ca="1" si="41">IF(M53&gt;0,N53*100/M53,0)</f>
        <v>73.219996693638166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355200</v>
      </c>
      <c r="M55" s="121">
        <f t="shared" ca="1" si="43"/>
        <v>280187.12</v>
      </c>
      <c r="N55" s="121">
        <f t="shared" ca="1" si="43"/>
        <v>205153</v>
      </c>
      <c r="O55" s="120">
        <f t="shared" ca="1" si="40"/>
        <v>57.757038288288285</v>
      </c>
      <c r="P55" s="120">
        <f t="shared" ca="1" si="41"/>
        <v>73.219996693638166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355200</v>
      </c>
      <c r="M57" s="49">
        <f ca="1">IFERROR(__xludf.DUMMYFUNCTION("IMPORTRANGE(""https://docs.google.com/spreadsheets/d/1Yj_ptqi66GCucihVvJfMjLAmec39IyEx_6qawtMGysU/edit?usp=sharing"",""สบก!Z63"")"),280187.12)</f>
        <v>280187.12</v>
      </c>
      <c r="N57" s="49">
        <f ca="1">IFERROR(__xludf.DUMMYFUNCTION("IMPORTRANGE(""https://docs.google.com/spreadsheets/d/1Yj_ptqi66GCucihVvJfMjLAmec39IyEx_6qawtMGysU/edit?usp=sharing"",""สบก!AA63"")"),205153)</f>
        <v>205153</v>
      </c>
      <c r="O57" s="38">
        <f ca="1">IF(L57&gt;0,N57*100/L57,0)</f>
        <v>57.757038288288285</v>
      </c>
      <c r="P57" s="38">
        <f ca="1">IF(M57&gt;0,N57*100/M57,0)</f>
        <v>73.219996693638166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IFERROR(__xludf.DUMMYFUNCTION("IMPORTRANGE(""https://docs.google.com/spreadsheets/d/1Yj_ptqi66GCucihVvJfMjLAmec39IyEx_6qawtMGysU/edit?usp=sharing"",""สบก!V63"")"),355200)</f>
        <v>355200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453800</v>
      </c>
      <c r="M66" s="152">
        <f t="shared" ca="1" si="45"/>
        <v>371020</v>
      </c>
      <c r="N66" s="152">
        <f t="shared" ca="1" si="45"/>
        <v>293215</v>
      </c>
      <c r="O66" s="151">
        <f t="shared" ref="O66:O68" ca="1" si="46">IF(L66&gt;0,N66*100/L66,0)</f>
        <v>64.613265755839578</v>
      </c>
      <c r="P66" s="151">
        <f t="shared" ref="P66:P68" ca="1" si="47">IF(M66&gt;0,N66*100/M66,0)</f>
        <v>79.029432375613169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453800</v>
      </c>
      <c r="M68" s="157">
        <f t="shared" ca="1" si="49"/>
        <v>371020</v>
      </c>
      <c r="N68" s="157">
        <f t="shared" ca="1" si="49"/>
        <v>293215</v>
      </c>
      <c r="O68" s="156">
        <f t="shared" ca="1" si="46"/>
        <v>64.613265755839578</v>
      </c>
      <c r="P68" s="156">
        <f t="shared" ca="1" si="47"/>
        <v>79.029432375613169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453800</v>
      </c>
      <c r="M70" s="168">
        <f ca="1">IFERROR(__xludf.DUMMYFUNCTION("IMPORTRANGE(""https://docs.google.com/spreadsheets/d/1Yj_ptqi66GCucihVvJfMjLAmec39IyEx_6qawtMGysU/edit?usp=sharing"",""สบก!AI63"")"),371020)</f>
        <v>371020</v>
      </c>
      <c r="N70" s="169">
        <f ca="1">IFERROR(__xludf.DUMMYFUNCTION("IMPORTRANGE(""https://docs.google.com/spreadsheets/d/1Yj_ptqi66GCucihVvJfMjLAmec39IyEx_6qawtMGysU/edit?usp=sharing"",""สบก!AJ63"")"),293215)</f>
        <v>293215</v>
      </c>
      <c r="O70" s="169">
        <f ca="1">IF(L70&gt;0,N70*100/L70,0)</f>
        <v>64.613265755839578</v>
      </c>
      <c r="P70" s="169">
        <f ca="1">IF(M70&gt;0,N70*100/M70,0)</f>
        <v>79.029432375613169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IFERROR(__xludf.DUMMYFUNCTION("IMPORTRANGE(""https://docs.google.com/spreadsheets/d/1Yj_ptqi66GCucihVvJfMjLAmec39IyEx_6qawtMGysU/edit?usp=sharing"",""สบก!AE63"")"),81800)</f>
        <v>81800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IFERROR(__xludf.DUMMYFUNCTION("IMPORTRANGE(""https://docs.google.com/spreadsheets/d/1Yj_ptqi66GCucihVvJfMjLAmec39IyEx_6qawtMGysU/edit?usp=sharing"",""สบก!AF63"")"),372000)</f>
        <v>372000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IFERROR(__xludf.DUMMYFUNCTION("IMPORTRANGE(""https://docs.google.com/spreadsheets/d/1SX6NBoVAgQJ6U1MVXOaj8PK2l7WJ3RER9xtqwdhxkhw/edit?usp=sharing"",""ชัยนาท!J16"")"),0)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IFERROR(__xludf.DUMMYFUNCTION("IMPORTRANGE(""https://docs.google.com/spreadsheets/d/1SX6NBoVAgQJ6U1MVXOaj8PK2l7WJ3RER9xtqwdhxkhw/edit?usp=sharing"",""ชัยนาท!J17"")"),1)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IFERROR(__xludf.DUMMYFUNCTION("IMPORTRANGE(""https://docs.google.com/spreadsheets/d/1SX6NBoVAgQJ6U1MVXOaj8PK2l7WJ3RER9xtqwdhxkhw/edit?usp=sharing"",""ชัยนาท!J18"")"),1)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IFERROR(__xludf.DUMMYFUNCTION("IMPORTRANGE(""https://docs.google.com/spreadsheets/d/1SX6NBoVAgQJ6U1MVXOaj8PK2l7WJ3RER9xtqwdhxkhw/edit?usp=sharing"",""ชัยนาท!J19"")"),1)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IFERROR(__xludf.DUMMYFUNCTION("IMPORTRANGE(""https://docs.google.com/spreadsheets/d/1SX6NBoVAgQJ6U1MVXOaj8PK2l7WJ3RER9xtqwdhxkhw/edit?usp=sharing"",""ชัยนาท!I20"")"),1)</f>
        <v>1</v>
      </c>
      <c r="J80" s="201">
        <f ca="1">IFERROR(__xludf.DUMMYFUNCTION("IMPORTRANGE(""https://docs.google.com/spreadsheets/d/1SX6NBoVAgQJ6U1MVXOaj8PK2l7WJ3RER9xtqwdhxkhw/edit?usp=sharing"",""ชัยนาท!J20"")"),1)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IFERROR(__xludf.DUMMYFUNCTION("IMPORTRANGE(""https://docs.google.com/spreadsheets/d/1SX6NBoVAgQJ6U1MVXOaj8PK2l7WJ3RER9xtqwdhxkhw/edit?usp=sharing"",""ชัยนาท!I21"")"),30)</f>
        <v>30</v>
      </c>
      <c r="J81" s="201">
        <f ca="1">IFERROR(__xludf.DUMMYFUNCTION("IMPORTRANGE(""https://docs.google.com/spreadsheets/d/1SX6NBoVAgQJ6U1MVXOaj8PK2l7WJ3RER9xtqwdhxkhw/edit?usp=sharing"",""ชัยนาท!J21"")"),30)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IFERROR(__xludf.DUMMYFUNCTION("IMPORTRANGE(""https://docs.google.com/spreadsheets/d/1SX6NBoVAgQJ6U1MVXOaj8PK2l7WJ3RER9xtqwdhxkhw/edit?usp=sharing"",""ชัยนาท!I22"")"),0)</f>
        <v>0</v>
      </c>
      <c r="J82" s="204">
        <f ca="1">IFERROR(__xludf.DUMMYFUNCTION("IMPORTRANGE(""https://docs.google.com/spreadsheets/d/1SX6NBoVAgQJ6U1MVXOaj8PK2l7WJ3RER9xtqwdhxkhw/edit?usp=sharing"",""ชัยนาท!J22"")"),0)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IFERROR(__xludf.DUMMYFUNCTION("IMPORTRANGE(""https://docs.google.com/spreadsheets/d/1SX6NBoVAgQJ6U1MVXOaj8PK2l7WJ3RER9xtqwdhxkhw/edit?usp=sharing"",""ชัยนาท!I23"")"),0)</f>
        <v>0</v>
      </c>
      <c r="J83" s="204">
        <f ca="1">IFERROR(__xludf.DUMMYFUNCTION("IMPORTRANGE(""https://docs.google.com/spreadsheets/d/1SX6NBoVAgQJ6U1MVXOaj8PK2l7WJ3RER9xtqwdhxkhw/edit?usp=sharing"",""ชัยนาท!J23"")"),0)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IFERROR(__xludf.DUMMYFUNCTION("IMPORTRANGE(""https://docs.google.com/spreadsheets/d/1SX6NBoVAgQJ6U1MVXOaj8PK2l7WJ3RER9xtqwdhxkhw/edit?usp=sharing"",""ชัยนาท!I24"")"),1)</f>
        <v>1</v>
      </c>
      <c r="J84" s="189">
        <f ca="1">IFERROR(__xludf.DUMMYFUNCTION("IMPORTRANGE(""https://docs.google.com/spreadsheets/d/1SX6NBoVAgQJ6U1MVXOaj8PK2l7WJ3RER9xtqwdhxkhw/edit?usp=sharing"",""ชัยนาท!J24"")"),1)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IFERROR(__xludf.DUMMYFUNCTION("IMPORTRANGE(""https://docs.google.com/spreadsheets/d/1SX6NBoVAgQJ6U1MVXOaj8PK2l7WJ3RER9xtqwdhxkhw/edit?usp=sharing"",""ชัยนาท!I25"")"),30)</f>
        <v>30</v>
      </c>
      <c r="J85" s="189">
        <f ca="1">IFERROR(__xludf.DUMMYFUNCTION("IMPORTRANGE(""https://docs.google.com/spreadsheets/d/1SX6NBoVAgQJ6U1MVXOaj8PK2l7WJ3RER9xtqwdhxkhw/edit?usp=sharing"",""ชัยนาท!J25"")"),30)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IFERROR(__xludf.DUMMYFUNCTION("IMPORTRANGE(""https://docs.google.com/spreadsheets/d/1SX6NBoVAgQJ6U1MVXOaj8PK2l7WJ3RER9xtqwdhxkhw/edit?usp=sharing"",""ชัยนาท!I26"")"),0)</f>
        <v>0</v>
      </c>
      <c r="J86" s="204">
        <f ca="1">IFERROR(__xludf.DUMMYFUNCTION("IMPORTRANGE(""https://docs.google.com/spreadsheets/d/1SX6NBoVAgQJ6U1MVXOaj8PK2l7WJ3RER9xtqwdhxkhw/edit?usp=sharing"",""ชัยนาท!J26"")"),0)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IFERROR(__xludf.DUMMYFUNCTION("IMPORTRANGE(""https://docs.google.com/spreadsheets/d/1SX6NBoVAgQJ6U1MVXOaj8PK2l7WJ3RER9xtqwdhxkhw/edit?usp=sharing"",""ชัยนาท!I27"")"),0)</f>
        <v>0</v>
      </c>
      <c r="J87" s="204">
        <f ca="1">IFERROR(__xludf.DUMMYFUNCTION("IMPORTRANGE(""https://docs.google.com/spreadsheets/d/1SX6NBoVAgQJ6U1MVXOaj8PK2l7WJ3RER9xtqwdhxkhw/edit?usp=sharing"",""ชัยนาท!J27"")"),0)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IFERROR(__xludf.DUMMYFUNCTION("IMPORTRANGE(""https://docs.google.com/spreadsheets/d/1SX6NBoVAgQJ6U1MVXOaj8PK2l7WJ3RER9xtqwdhxkhw/edit?usp=sharing"",""ชัยนาท!I28"")"),1)</f>
        <v>1</v>
      </c>
      <c r="J88" s="204">
        <f ca="1">IFERROR(__xludf.DUMMYFUNCTION("IMPORTRANGE(""https://docs.google.com/spreadsheets/d/1SX6NBoVAgQJ6U1MVXOaj8PK2l7WJ3RER9xtqwdhxkhw/edit?usp=sharing"",""ชัยนาท!J28"")"),0)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IFERROR(__xludf.DUMMYFUNCTION("IMPORTRANGE(""https://docs.google.com/spreadsheets/d/1SX6NBoVAgQJ6U1MVXOaj8PK2l7WJ3RER9xtqwdhxkhw/edit?usp=sharing"",""ชัยนาท!J29"")"),0)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IFERROR(__xludf.DUMMYFUNCTION("IMPORTRANGE(""https://docs.google.com/spreadsheets/d/1SX6NBoVAgQJ6U1MVXOaj8PK2l7WJ3RER9xtqwdhxkhw/edit?usp=sharing"",""ชัยนาท!J30"")"),0)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IFERROR(__xludf.DUMMYFUNCTION("IMPORTRANGE(""https://docs.google.com/spreadsheets/d/1Yj_ptqi66GCucihVvJfMjLAmec39IyEx_6qawtMGysU/edit?usp=sharing"",""สบก!AR63"")"),0)</f>
        <v>0</v>
      </c>
      <c r="N98" s="169">
        <f ca="1">IFERROR(__xludf.DUMMYFUNCTION("IMPORTRANGE(""https://docs.google.com/spreadsheets/d/1Yj_ptqi66GCucihVvJfMjLAmec39IyEx_6qawtMGysU/edit?usp=sharing"",""สบก!AS63"")"),0)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IFERROR(__xludf.DUMMYFUNCTION("IMPORTRANGE(""https://docs.google.com/spreadsheets/d/1Yj_ptqi66GCucihVvJfMjLAmec39IyEx_6qawtMGysU/edit?usp=sharing"",""สบก!AO63"")"),0)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IFERROR(__xludf.DUMMYFUNCTION("IMPORTRANGE(""https://docs.google.com/spreadsheets/d/1SX6NBoVAgQJ6U1MVXOaj8PK2l7WJ3RER9xtqwdhxkhw/edit?usp=sharing"",""ชัยนาท!J39"")"),0)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IFERROR(__xludf.DUMMYFUNCTION("IMPORTRANGE(""https://docs.google.com/spreadsheets/d/1SX6NBoVAgQJ6U1MVXOaj8PK2l7WJ3RER9xtqwdhxkhw/edit?usp=sharing"",""ชัยนาท!J40"")"),0)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IFERROR(__xludf.DUMMYFUNCTION("IMPORTRANGE(""https://docs.google.com/spreadsheets/d/1SX6NBoVAgQJ6U1MVXOaj8PK2l7WJ3RER9xtqwdhxkhw/edit?usp=sharing"",""ชัยนาท!J41"")"),0)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IFERROR(__xludf.DUMMYFUNCTION("IMPORTRANGE(""https://docs.google.com/spreadsheets/d/1SX6NBoVAgQJ6U1MVXOaj8PK2l7WJ3RER9xtqwdhxkhw/edit?usp=sharing"",""ชัยนาท!J42"")"),0)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IFERROR(__xludf.DUMMYFUNCTION("IMPORTRANGE(""https://docs.google.com/spreadsheets/d/1SX6NBoVAgQJ6U1MVXOaj8PK2l7WJ3RER9xtqwdhxkhw/edit?usp=sharing"",""ชัยนาท!I43"")"),0)</f>
        <v>0</v>
      </c>
      <c r="J108" s="204">
        <f ca="1">IFERROR(__xludf.DUMMYFUNCTION("IMPORTRANGE(""https://docs.google.com/spreadsheets/d/1SX6NBoVAgQJ6U1MVXOaj8PK2l7WJ3RER9xtqwdhxkhw/edit?usp=sharing"",""ชัยนาท!J43"")"),0)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IFERROR(__xludf.DUMMYFUNCTION("IMPORTRANGE(""https://docs.google.com/spreadsheets/d/1SX6NBoVAgQJ6U1MVXOaj8PK2l7WJ3RER9xtqwdhxkhw/edit?usp=sharing"",""ชัยนาท!I44"")"),0)</f>
        <v>0</v>
      </c>
      <c r="J109" s="204">
        <f ca="1">IFERROR(__xludf.DUMMYFUNCTION("IMPORTRANGE(""https://docs.google.com/spreadsheets/d/1SX6NBoVAgQJ6U1MVXOaj8PK2l7WJ3RER9xtqwdhxkhw/edit?usp=sharing"",""ชัยนาท!J44"")"),0)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IFERROR(__xludf.DUMMYFUNCTION("IMPORTRANGE(""https://docs.google.com/spreadsheets/d/1SX6NBoVAgQJ6U1MVXOaj8PK2l7WJ3RER9xtqwdhxkhw/edit?usp=sharing"",""ชัยนาท!I45"")"),0)</f>
        <v>0</v>
      </c>
      <c r="J110" s="204">
        <f ca="1">IFERROR(__xludf.DUMMYFUNCTION("IMPORTRANGE(""https://docs.google.com/spreadsheets/d/1SX6NBoVAgQJ6U1MVXOaj8PK2l7WJ3RER9xtqwdhxkhw/edit?usp=sharing"",""ชัยนาท!J45"")"),0)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IFERROR(__xludf.DUMMYFUNCTION("IMPORTRANGE(""https://docs.google.com/spreadsheets/d/1SX6NBoVAgQJ6U1MVXOaj8PK2l7WJ3RER9xtqwdhxkhw/edit?usp=sharing"",""ชัยนาท!I46"")"),0)</f>
        <v>0</v>
      </c>
      <c r="J111" s="204">
        <f ca="1">IFERROR(__xludf.DUMMYFUNCTION("IMPORTRANGE(""https://docs.google.com/spreadsheets/d/1SX6NBoVAgQJ6U1MVXOaj8PK2l7WJ3RER9xtqwdhxkhw/edit?usp=sharing"",""ชัยนาท!J46"")"),0)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IFERROR(__xludf.DUMMYFUNCTION("IMPORTRANGE(""https://docs.google.com/spreadsheets/d/1SX6NBoVAgQJ6U1MVXOaj8PK2l7WJ3RER9xtqwdhxkhw/edit?usp=sharing"",""ชัยนาท!I47"")"),0)</f>
        <v>0</v>
      </c>
      <c r="J112" s="204">
        <f ca="1">IFERROR(__xludf.DUMMYFUNCTION("IMPORTRANGE(""https://docs.google.com/spreadsheets/d/1SX6NBoVAgQJ6U1MVXOaj8PK2l7WJ3RER9xtqwdhxkhw/edit?usp=sharing"",""ชัยนาท!J47"")"),0)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IFERROR(__xludf.DUMMYFUNCTION("IMPORTRANGE(""https://docs.google.com/spreadsheets/d/1SX6NBoVAgQJ6U1MVXOaj8PK2l7WJ3RER9xtqwdhxkhw/edit?usp=sharing"",""ชัยนาท!I48"")"),0)</f>
        <v>0</v>
      </c>
      <c r="J113" s="204">
        <f ca="1">IFERROR(__xludf.DUMMYFUNCTION("IMPORTRANGE(""https://docs.google.com/spreadsheets/d/1SX6NBoVAgQJ6U1MVXOaj8PK2l7WJ3RER9xtqwdhxkhw/edit?usp=sharing"",""ชัยนาท!J48"")"),0)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IFERROR(__xludf.DUMMYFUNCTION("IMPORTRANGE(""https://docs.google.com/spreadsheets/d/1SX6NBoVAgQJ6U1MVXOaj8PK2l7WJ3RER9xtqwdhxkhw/edit?usp=sharing"",""ชัยนาท!J49"")"),0)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IFERROR(__xludf.DUMMYFUNCTION("IMPORTRANGE(""https://docs.google.com/spreadsheets/d/1SX6NBoVAgQJ6U1MVXOaj8PK2l7WJ3RER9xtqwdhxkhw/edit?usp=sharing"",""ชัยนาท!J50"")"),0)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IFERROR(__xludf.DUMMYFUNCTION("IMPORTRANGE(""https://docs.google.com/spreadsheets/d/1Yj_ptqi66GCucihVvJfMjLAmec39IyEx_6qawtMGysU/edit?usp=sharing"",""สบก!BA63"")"),0)</f>
        <v>0</v>
      </c>
      <c r="N122" s="169">
        <f ca="1">IFERROR(__xludf.DUMMYFUNCTION("IMPORTRANGE(""https://docs.google.com/spreadsheets/d/1Yj_ptqi66GCucihVvJfMjLAmec39IyEx_6qawtMGysU/edit?usp=sharing"",""สบก!BB63"")"),0)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IFERROR(__xludf.DUMMYFUNCTION("IMPORTRANGE(""https://docs.google.com/spreadsheets/d/1Yj_ptqi66GCucihVvJfMjLAmec39IyEx_6qawtMGysU/edit?usp=sharing"",""สบก!AX63"")"),0)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IFERROR(__xludf.DUMMYFUNCTION("IMPORTRANGE(""https://docs.google.com/spreadsheets/d/1SX6NBoVAgQJ6U1MVXOaj8PK2l7WJ3RER9xtqwdhxkhw/edit?usp=sharing"",""ชัยนาท!J58"")"),0)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IFERROR(__xludf.DUMMYFUNCTION("IMPORTRANGE(""https://docs.google.com/spreadsheets/d/1SX6NBoVAgQJ6U1MVXOaj8PK2l7WJ3RER9xtqwdhxkhw/edit?usp=sharing"",""ชัยนาท!J59"")"),0)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IFERROR(__xludf.DUMMYFUNCTION("IMPORTRANGE(""https://docs.google.com/spreadsheets/d/1SX6NBoVAgQJ6U1MVXOaj8PK2l7WJ3RER9xtqwdhxkhw/edit?usp=sharing"",""ชัยนาท!J60"")"),0)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IFERROR(__xludf.DUMMYFUNCTION("IMPORTRANGE(""https://docs.google.com/spreadsheets/d/1SX6NBoVAgQJ6U1MVXOaj8PK2l7WJ3RER9xtqwdhxkhw/edit?usp=sharing"",""ชัยนาท!J61"")"),0)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IFERROR(__xludf.DUMMYFUNCTION("IMPORTRANGE(""https://docs.google.com/spreadsheets/d/1SX6NBoVAgQJ6U1MVXOaj8PK2l7WJ3RER9xtqwdhxkhw/edit?usp=sharing"",""ชัยนาท!I62"")"),0)</f>
        <v>0</v>
      </c>
      <c r="J132" s="204">
        <f ca="1">IFERROR(__xludf.DUMMYFUNCTION("IMPORTRANGE(""https://docs.google.com/spreadsheets/d/1SX6NBoVAgQJ6U1MVXOaj8PK2l7WJ3RER9xtqwdhxkhw/edit?usp=sharing"",""ชัยนาท!J62"")"),0)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IFERROR(__xludf.DUMMYFUNCTION("IMPORTRANGE(""https://docs.google.com/spreadsheets/d/1SX6NBoVAgQJ6U1MVXOaj8PK2l7WJ3RER9xtqwdhxkhw/edit?usp=sharing"",""ชัยนาท!I63"")"),0)</f>
        <v>0</v>
      </c>
      <c r="J133" s="204">
        <f ca="1">IFERROR(__xludf.DUMMYFUNCTION("IMPORTRANGE(""https://docs.google.com/spreadsheets/d/1SX6NBoVAgQJ6U1MVXOaj8PK2l7WJ3RER9xtqwdhxkhw/edit?usp=sharing"",""ชัยนาท!J63"")"),0)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IFERROR(__xludf.DUMMYFUNCTION("IMPORTRANGE(""https://docs.google.com/spreadsheets/d/1SX6NBoVAgQJ6U1MVXOaj8PK2l7WJ3RER9xtqwdhxkhw/edit?usp=sharing"",""ชัยนาท!J64"")"),0)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IFERROR(__xludf.DUMMYFUNCTION("IMPORTRANGE(""https://docs.google.com/spreadsheets/d/1SX6NBoVAgQJ6U1MVXOaj8PK2l7WJ3RER9xtqwdhxkhw/edit?usp=sharing"",""ชัยนาท!J65"")"),0)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IFERROR(__xludf.DUMMYFUNCTION("IMPORTRANGE(""https://docs.google.com/spreadsheets/d/1SX6NBoVAgQJ6U1MVXOaj8PK2l7WJ3RER9xtqwdhxkhw/edit?usp=sharing"",""ชัยนาท!I68"")"),15)</f>
        <v>15</v>
      </c>
      <c r="J138" s="268">
        <f ca="1">IFERROR(__xludf.DUMMYFUNCTION("IMPORTRANGE(""https://docs.google.com/spreadsheets/d/1SX6NBoVAgQJ6U1MVXOaj8PK2l7WJ3RER9xtqwdhxkhw/edit?usp=sharing"",""ชัยนาท!J68"")"),15)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264400</v>
      </c>
      <c r="M140" s="152">
        <f t="shared" ca="1" si="64"/>
        <v>207425</v>
      </c>
      <c r="N140" s="152">
        <f t="shared" ca="1" si="64"/>
        <v>119483.26</v>
      </c>
      <c r="O140" s="151">
        <f t="shared" ref="O140:O142" ca="1" si="65">IF(L140&gt;0,N140*100/L140,0)</f>
        <v>45.190340393343419</v>
      </c>
      <c r="P140" s="151">
        <f t="shared" ref="P140:P142" ca="1" si="66">IF(M140&gt;0,N140*100/M140,0)</f>
        <v>57.603114378691096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264400</v>
      </c>
      <c r="M142" s="157">
        <f t="shared" ca="1" si="68"/>
        <v>207425</v>
      </c>
      <c r="N142" s="157">
        <f t="shared" ca="1" si="68"/>
        <v>119483.26</v>
      </c>
      <c r="O142" s="156">
        <f t="shared" ca="1" si="65"/>
        <v>45.190340393343419</v>
      </c>
      <c r="P142" s="156">
        <f t="shared" ca="1" si="66"/>
        <v>57.603114378691096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264400</v>
      </c>
      <c r="M144" s="168">
        <f ca="1">IFERROR(__xludf.DUMMYFUNCTION("IMPORTRANGE(""https://docs.google.com/spreadsheets/d/1Yj_ptqi66GCucihVvJfMjLAmec39IyEx_6qawtMGysU/edit?usp=sharing"",""สบก!BJ63"")"),207425)</f>
        <v>207425</v>
      </c>
      <c r="N144" s="169">
        <f ca="1">IFERROR(__xludf.DUMMYFUNCTION("IMPORTRANGE(""https://docs.google.com/spreadsheets/d/1Yj_ptqi66GCucihVvJfMjLAmec39IyEx_6qawtMGysU/edit?usp=sharing"",""สบก!BK63"")"),119483.26)</f>
        <v>119483.26</v>
      </c>
      <c r="O144" s="169">
        <f ca="1">IF(L144&gt;0,N144*100/L144,0)</f>
        <v>45.190340393343419</v>
      </c>
      <c r="P144" s="169">
        <f ca="1">IF(M144&gt;0,N144*100/M144,0)</f>
        <v>57.603114378691096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IFERROR(__xludf.DUMMYFUNCTION("IMPORTRANGE(""https://docs.google.com/spreadsheets/d/1Yj_ptqi66GCucihVvJfMjLAmec39IyEx_6qawtMGysU/edit?usp=sharing"",""สบก!BF63"")"),219800)</f>
        <v>219800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IFERROR(__xludf.DUMMYFUNCTION("IMPORTRANGE(""https://docs.google.com/spreadsheets/d/1Yj_ptqi66GCucihVvJfMjLAmec39IyEx_6qawtMGysU/edit?usp=sharing"",""สบก!BG63"")"),44600)</f>
        <v>44600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IFERROR(__xludf.DUMMYFUNCTION("IMPORTRANGE(""https://docs.google.com/spreadsheets/d/1SX6NBoVAgQJ6U1MVXOaj8PK2l7WJ3RER9xtqwdhxkhw/edit?usp=sharing"",""ชัยนาท!I74"")"),4)</f>
        <v>4</v>
      </c>
      <c r="J149" s="276">
        <f ca="1">IFERROR(__xludf.DUMMYFUNCTION("IMPORTRANGE(""https://docs.google.com/spreadsheets/d/1SX6NBoVAgQJ6U1MVXOaj8PK2l7WJ3RER9xtqwdhxkhw/edit?usp=sharing"",""ชัยนาท!J74"")"),2)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IFERROR(__xludf.DUMMYFUNCTION("IMPORTRANGE(""https://docs.google.com/spreadsheets/d/1SX6NBoVAgQJ6U1MVXOaj8PK2l7WJ3RER9xtqwdhxkhw/edit?usp=sharing"",""ชัยนาท!J79"")"),0)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IFERROR(__xludf.DUMMYFUNCTION("IMPORTRANGE(""https://docs.google.com/spreadsheets/d/1SX6NBoVAgQJ6U1MVXOaj8PK2l7WJ3RER9xtqwdhxkhw/edit?usp=sharing"",""ชัยนาท!J80"")"),1)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IFERROR(__xludf.DUMMYFUNCTION("IMPORTRANGE(""https://docs.google.com/spreadsheets/d/1SX6NBoVAgQJ6U1MVXOaj8PK2l7WJ3RER9xtqwdhxkhw/edit?usp=sharing"",""ชัยนาท!J81"")"),1)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IFERROR(__xludf.DUMMYFUNCTION("IMPORTRANGE(""https://docs.google.com/spreadsheets/d/1SX6NBoVAgQJ6U1MVXOaj8PK2l7WJ3RER9xtqwdhxkhw/edit?usp=sharing"",""ชัยนาท!J82"")"),1)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IFERROR(__xludf.DUMMYFUNCTION("IMPORTRANGE(""https://docs.google.com/spreadsheets/d/1SX6NBoVAgQJ6U1MVXOaj8PK2l7WJ3RER9xtqwdhxkhw/edit?usp=sharing"",""ชัยนาท!I83"")"),4)</f>
        <v>4</v>
      </c>
      <c r="J158" s="189">
        <f ca="1">IFERROR(__xludf.DUMMYFUNCTION("IMPORTRANGE(""https://docs.google.com/spreadsheets/d/1SX6NBoVAgQJ6U1MVXOaj8PK2l7WJ3RER9xtqwdhxkhw/edit?usp=sharing"",""ชัยนาท!J83"")"),2)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IFERROR(__xludf.DUMMYFUNCTION("IMPORTRANGE(""https://docs.google.com/spreadsheets/d/1SX6NBoVAgQJ6U1MVXOaj8PK2l7WJ3RER9xtqwdhxkhw/edit?usp=sharing"",""ชัยนาท!J84"")"),149)</f>
        <v>149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IFERROR(__xludf.DUMMYFUNCTION("IMPORTRANGE(""https://docs.google.com/spreadsheets/d/1SX6NBoVAgQJ6U1MVXOaj8PK2l7WJ3RER9xtqwdhxkhw/edit?usp=sharing"",""ชัยนาท!J85"")"),149)</f>
        <v>149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IFERROR(__xludf.DUMMYFUNCTION("IMPORTRANGE(""https://docs.google.com/spreadsheets/d/1SX6NBoVAgQJ6U1MVXOaj8PK2l7WJ3RER9xtqwdhxkhw/edit?usp=sharing"",""ชัยนาท!J86"")"),0)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IFERROR(__xludf.DUMMYFUNCTION("IMPORTRANGE(""https://docs.google.com/spreadsheets/d/1SX6NBoVAgQJ6U1MVXOaj8PK2l7WJ3RER9xtqwdhxkhw/edit?usp=sharing"",""ชัยนาท!J87"")"),0)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IFERROR(__xludf.DUMMYFUNCTION("IMPORTRANGE(""https://docs.google.com/spreadsheets/d/1SX6NBoVAgQJ6U1MVXOaj8PK2l7WJ3RER9xtqwdhxkhw/edit?usp=sharing"",""ชัยนาท!J88"")"),0)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IFERROR(__xludf.DUMMYFUNCTION("IMPORTRANGE(""https://docs.google.com/spreadsheets/d/1SX6NBoVAgQJ6U1MVXOaj8PK2l7WJ3RER9xtqwdhxkhw/edit?usp=sharing"",""ชัยนาท!I89"")"),1)</f>
        <v>1</v>
      </c>
      <c r="J164" s="285">
        <f ca="1">IFERROR(__xludf.DUMMYFUNCTION("IMPORTRANGE(""https://docs.google.com/spreadsheets/d/1SX6NBoVAgQJ6U1MVXOaj8PK2l7WJ3RER9xtqwdhxkhw/edit?usp=sharing"",""ชัยนาท!J89"")"),1)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IFERROR(__xludf.DUMMYFUNCTION("IMPORTRANGE(""https://docs.google.com/spreadsheets/d/1SX6NBoVAgQJ6U1MVXOaj8PK2l7WJ3RER9xtqwdhxkhw/edit?usp=sharing"",""ชัยนาท!J94"")"),0)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IFERROR(__xludf.DUMMYFUNCTION("IMPORTRANGE(""https://docs.google.com/spreadsheets/d/1SX6NBoVAgQJ6U1MVXOaj8PK2l7WJ3RER9xtqwdhxkhw/edit?usp=sharing"",""ชัยนาท!J95"")"),1)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IFERROR(__xludf.DUMMYFUNCTION("IMPORTRANGE(""https://docs.google.com/spreadsheets/d/1SX6NBoVAgQJ6U1MVXOaj8PK2l7WJ3RER9xtqwdhxkhw/edit?usp=sharing"",""ชัยนาท!J96"")"),1)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IFERROR(__xludf.DUMMYFUNCTION("IMPORTRANGE(""https://docs.google.com/spreadsheets/d/1SX6NBoVAgQJ6U1MVXOaj8PK2l7WJ3RER9xtqwdhxkhw/edit?usp=sharing"",""ชัยนาท!J97"")"),1)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IFERROR(__xludf.DUMMYFUNCTION("IMPORTRANGE(""https://docs.google.com/spreadsheets/d/1SX6NBoVAgQJ6U1MVXOaj8PK2l7WJ3RER9xtqwdhxkhw/edit?usp=sharing"",""ชัยนาท!I98"")"),1)</f>
        <v>1</v>
      </c>
      <c r="J173" s="189">
        <f ca="1">IFERROR(__xludf.DUMMYFUNCTION("IMPORTRANGE(""https://docs.google.com/spreadsheets/d/1SX6NBoVAgQJ6U1MVXOaj8PK2l7WJ3RER9xtqwdhxkhw/edit?usp=sharing"",""ชัยนาท!J98"")"),1)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IFERROR(__xludf.DUMMYFUNCTION("IMPORTRANGE(""https://docs.google.com/spreadsheets/d/1SX6NBoVAgQJ6U1MVXOaj8PK2l7WJ3RER9xtqwdhxkhw/edit?usp=sharing"",""ชัยนาท!J99"")"),0)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IFERROR(__xludf.DUMMYFUNCTION("IMPORTRANGE(""https://docs.google.com/spreadsheets/d/1SX6NBoVAgQJ6U1MVXOaj8PK2l7WJ3RER9xtqwdhxkhw/edit?usp=sharing"",""ชัยนาท!J100"")"),0)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IFERROR(__xludf.DUMMYFUNCTION("IMPORTRANGE(""https://docs.google.com/spreadsheets/d/1SX6NBoVAgQJ6U1MVXOaj8PK2l7WJ3RER9xtqwdhxkhw/edit?usp=sharing"",""ชัยนาท!I101"")"),0)</f>
        <v>0</v>
      </c>
      <c r="J176" s="285">
        <f ca="1">IFERROR(__xludf.DUMMYFUNCTION("IMPORTRANGE(""https://docs.google.com/spreadsheets/d/1SX6NBoVAgQJ6U1MVXOaj8PK2l7WJ3RER9xtqwdhxkhw/edit?usp=sharing"",""ชัยนาท!J101"")"),0)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IFERROR(__xludf.DUMMYFUNCTION("IMPORTRANGE(""https://docs.google.com/spreadsheets/d/1SX6NBoVAgQJ6U1MVXOaj8PK2l7WJ3RER9xtqwdhxkhw/edit?usp=sharing"",""ชัยนาท!J106"")"),0)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IFERROR(__xludf.DUMMYFUNCTION("IMPORTRANGE(""https://docs.google.com/spreadsheets/d/1SX6NBoVAgQJ6U1MVXOaj8PK2l7WJ3RER9xtqwdhxkhw/edit?usp=sharing"",""ชัยนาท!J107"")"),0)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IFERROR(__xludf.DUMMYFUNCTION("IMPORTRANGE(""https://docs.google.com/spreadsheets/d/1SX6NBoVAgQJ6U1MVXOaj8PK2l7WJ3RER9xtqwdhxkhw/edit?usp=sharing"",""ชัยนาท!J108"")"),0)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IFERROR(__xludf.DUMMYFUNCTION("IMPORTRANGE(""https://docs.google.com/spreadsheets/d/1SX6NBoVAgQJ6U1MVXOaj8PK2l7WJ3RER9xtqwdhxkhw/edit?usp=sharing"",""ชัยนาท!J109"")"),0)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IFERROR(__xludf.DUMMYFUNCTION("IMPORTRANGE(""https://docs.google.com/spreadsheets/d/1SX6NBoVAgQJ6U1MVXOaj8PK2l7WJ3RER9xtqwdhxkhw/edit?usp=sharing"",""ชัยนาท!I110"")"),0)</f>
        <v>0</v>
      </c>
      <c r="J185" s="204">
        <f ca="1">IFERROR(__xludf.DUMMYFUNCTION("IMPORTRANGE(""https://docs.google.com/spreadsheets/d/1SX6NBoVAgQJ6U1MVXOaj8PK2l7WJ3RER9xtqwdhxkhw/edit?usp=sharing"",""ชัยนาท!J110"")"),0)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IFERROR(__xludf.DUMMYFUNCTION("IMPORTRANGE(""https://docs.google.com/spreadsheets/d/1SX6NBoVAgQJ6U1MVXOaj8PK2l7WJ3RER9xtqwdhxkhw/edit?usp=sharing"",""ชัยนาท!I111"")"),0)</f>
        <v>0</v>
      </c>
      <c r="J186" s="204">
        <f ca="1">IFERROR(__xludf.DUMMYFUNCTION("IMPORTRANGE(""https://docs.google.com/spreadsheets/d/1SX6NBoVAgQJ6U1MVXOaj8PK2l7WJ3RER9xtqwdhxkhw/edit?usp=sharing"",""ชัยนาท!J111"")"),0)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IFERROR(__xludf.DUMMYFUNCTION("IMPORTRANGE(""https://docs.google.com/spreadsheets/d/1SX6NBoVAgQJ6U1MVXOaj8PK2l7WJ3RER9xtqwdhxkhw/edit?usp=sharing"",""ชัยนาท!J112"")"),0)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IFERROR(__xludf.DUMMYFUNCTION("IMPORTRANGE(""https://docs.google.com/spreadsheets/d/1SX6NBoVAgQJ6U1MVXOaj8PK2l7WJ3RER9xtqwdhxkhw/edit?usp=sharing"",""ชัยนาท!J113"")"),0)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IFERROR(__xludf.DUMMYFUNCTION("IMPORTRANGE(""https://docs.google.com/spreadsheets/d/1SX6NBoVAgQJ6U1MVXOaj8PK2l7WJ3RER9xtqwdhxkhw/edit?usp=sharing"",""ชัยนาท!I114"")"),12800)</f>
        <v>12800</v>
      </c>
      <c r="J189" s="285">
        <f ca="1">IFERROR(__xludf.DUMMYFUNCTION("IMPORTRANGE(""https://docs.google.com/spreadsheets/d/1SX6NBoVAgQJ6U1MVXOaj8PK2l7WJ3RER9xtqwdhxkhw/edit?usp=sharing"",""ชัยนาท!J114"")"),0)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IFERROR(__xludf.DUMMYFUNCTION("IMPORTRANGE(""https://docs.google.com/spreadsheets/d/1SX6NBoVAgQJ6U1MVXOaj8PK2l7WJ3RER9xtqwdhxkhw/edit?usp=sharing"",""ชัยนาท!J119"")"),0)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IFERROR(__xludf.DUMMYFUNCTION("IMPORTRANGE(""https://docs.google.com/spreadsheets/d/1SX6NBoVAgQJ6U1MVXOaj8PK2l7WJ3RER9xtqwdhxkhw/edit?usp=sharing"",""ชัยนาท!J120"")"),1)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IFERROR(__xludf.DUMMYFUNCTION("IMPORTRANGE(""https://docs.google.com/spreadsheets/d/1SX6NBoVAgQJ6U1MVXOaj8PK2l7WJ3RER9xtqwdhxkhw/edit?usp=sharing"",""ชัยนาท!J121"")"),1)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IFERROR(__xludf.DUMMYFUNCTION("IMPORTRANGE(""https://docs.google.com/spreadsheets/d/1SX6NBoVAgQJ6U1MVXOaj8PK2l7WJ3RER9xtqwdhxkhw/edit?usp=sharing"",""ชัยนาท!J122"")"),1)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IFERROR(__xludf.DUMMYFUNCTION("IMPORTRANGE(""https://docs.google.com/spreadsheets/d/1SX6NBoVAgQJ6U1MVXOaj8PK2l7WJ3RER9xtqwdhxkhw/edit?usp=sharing"",""ชัยนาท!I124"")"),12800)</f>
        <v>12800</v>
      </c>
      <c r="J199" s="189">
        <f ca="1">IFERROR(__xludf.DUMMYFUNCTION("IMPORTRANGE(""https://docs.google.com/spreadsheets/d/1SX6NBoVAgQJ6U1MVXOaj8PK2l7WJ3RER9xtqwdhxkhw/edit?usp=sharing"",""ชัยนาท!J124"")"),0)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IFERROR(__xludf.DUMMYFUNCTION("IMPORTRANGE(""https://docs.google.com/spreadsheets/d/1SX6NBoVAgQJ6U1MVXOaj8PK2l7WJ3RER9xtqwdhxkhw/edit?usp=sharing"",""ชัยนาท!I125"")"),12800)</f>
        <v>12800</v>
      </c>
      <c r="J200" s="189">
        <f ca="1">IFERROR(__xludf.DUMMYFUNCTION("IMPORTRANGE(""https://docs.google.com/spreadsheets/d/1SX6NBoVAgQJ6U1MVXOaj8PK2l7WJ3RER9xtqwdhxkhw/edit?usp=sharing"",""ชัยนาท!J125"")"),0)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IFERROR(__xludf.DUMMYFUNCTION("IMPORTRANGE(""https://docs.google.com/spreadsheets/d/1SX6NBoVAgQJ6U1MVXOaj8PK2l7WJ3RER9xtqwdhxkhw/edit?usp=sharing"",""ชัยนาท!I126"")"),15)</f>
        <v>15</v>
      </c>
      <c r="J201" s="189">
        <f ca="1">IFERROR(__xludf.DUMMYFUNCTION("IMPORTRANGE(""https://docs.google.com/spreadsheets/d/1SX6NBoVAgQJ6U1MVXOaj8PK2l7WJ3RER9xtqwdhxkhw/edit?usp=sharing"",""ชัยนาท!J126"")"),15)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IFERROR(__xludf.DUMMYFUNCTION("IMPORTRANGE(""https://docs.google.com/spreadsheets/d/1SX6NBoVAgQJ6U1MVXOaj8PK2l7WJ3RER9xtqwdhxkhw/edit?usp=sharing"",""ชัยนาท!J127"")"),0)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IFERROR(__xludf.DUMMYFUNCTION("IMPORTRANGE(""https://docs.google.com/spreadsheets/d/1SX6NBoVAgQJ6U1MVXOaj8PK2l7WJ3RER9xtqwdhxkhw/edit?usp=sharing"",""ชัยนาท!J128"")"),0)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IFERROR(__xludf.DUMMYFUNCTION("IMPORTRANGE(""https://docs.google.com/spreadsheets/d/1SX6NBoVAgQJ6U1MVXOaj8PK2l7WJ3RER9xtqwdhxkhw/edit?usp=sharing"",""ชัยนาท!I129"")"),0)</f>
        <v>0</v>
      </c>
      <c r="J204" s="285">
        <f ca="1">IFERROR(__xludf.DUMMYFUNCTION("IMPORTRANGE(""https://docs.google.com/spreadsheets/d/1SX6NBoVAgQJ6U1MVXOaj8PK2l7WJ3RER9xtqwdhxkhw/edit?usp=sharing"",""ชัยนาท!J129"")"),0)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IFERROR(__xludf.DUMMYFUNCTION("IMPORTRANGE(""https://docs.google.com/spreadsheets/d/1SX6NBoVAgQJ6U1MVXOaj8PK2l7WJ3RER9xtqwdhxkhw/edit?usp=sharing"",""ชัยนาท!J134"")"),0)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IFERROR(__xludf.DUMMYFUNCTION("IMPORTRANGE(""https://docs.google.com/spreadsheets/d/1SX6NBoVAgQJ6U1MVXOaj8PK2l7WJ3RER9xtqwdhxkhw/edit?usp=sharing"",""ชัยนาท!J135"")"),0)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IFERROR(__xludf.DUMMYFUNCTION("IMPORTRANGE(""https://docs.google.com/spreadsheets/d/1SX6NBoVAgQJ6U1MVXOaj8PK2l7WJ3RER9xtqwdhxkhw/edit?usp=sharing"",""ชัยนาท!J136"")"),0)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IFERROR(__xludf.DUMMYFUNCTION("IMPORTRANGE(""https://docs.google.com/spreadsheets/d/1SX6NBoVAgQJ6U1MVXOaj8PK2l7WJ3RER9xtqwdhxkhw/edit?usp=sharing"",""ชัยนาท!J137"")"),0)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IFERROR(__xludf.DUMMYFUNCTION("IMPORTRANGE(""https://docs.google.com/spreadsheets/d/1SX6NBoVAgQJ6U1MVXOaj8PK2l7WJ3RER9xtqwdhxkhw/edit?usp=sharing"",""ชัยนาท!I138"")"),0)</f>
        <v>0</v>
      </c>
      <c r="J213" s="204">
        <f ca="1">IFERROR(__xludf.DUMMYFUNCTION("IMPORTRANGE(""https://docs.google.com/spreadsheets/d/1SX6NBoVAgQJ6U1MVXOaj8PK2l7WJ3RER9xtqwdhxkhw/edit?usp=sharing"",""ชัยนาท!J138"")"),0)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IFERROR(__xludf.DUMMYFUNCTION("IMPORTRANGE(""https://docs.google.com/spreadsheets/d/1SX6NBoVAgQJ6U1MVXOaj8PK2l7WJ3RER9xtqwdhxkhw/edit?usp=sharing"",""ชัยนาท!I140"")"),0)</f>
        <v>0</v>
      </c>
      <c r="J215" s="204">
        <f ca="1">IFERROR(__xludf.DUMMYFUNCTION("IMPORTRANGE(""https://docs.google.com/spreadsheets/d/1SX6NBoVAgQJ6U1MVXOaj8PK2l7WJ3RER9xtqwdhxkhw/edit?usp=sharing"",""ชัยนาท!J140"")"),0)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IFERROR(__xludf.DUMMYFUNCTION("IMPORTRANGE(""https://docs.google.com/spreadsheets/d/1SX6NBoVAgQJ6U1MVXOaj8PK2l7WJ3RER9xtqwdhxkhw/edit?usp=sharing"",""ชัยนาท!I141"")"),0)</f>
        <v>0</v>
      </c>
      <c r="J216" s="204">
        <f ca="1">IFERROR(__xludf.DUMMYFUNCTION("IMPORTRANGE(""https://docs.google.com/spreadsheets/d/1SX6NBoVAgQJ6U1MVXOaj8PK2l7WJ3RER9xtqwdhxkhw/edit?usp=sharing"",""ชัยนาท!J141"")"),0)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IFERROR(__xludf.DUMMYFUNCTION("IMPORTRANGE(""https://docs.google.com/spreadsheets/d/1SX6NBoVAgQJ6U1MVXOaj8PK2l7WJ3RER9xtqwdhxkhw/edit?usp=sharing"",""ชัยนาท!J142"")"),0)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IFERROR(__xludf.DUMMYFUNCTION("IMPORTRANGE(""https://docs.google.com/spreadsheets/d/1SX6NBoVAgQJ6U1MVXOaj8PK2l7WJ3RER9xtqwdhxkhw/edit?usp=sharing"",""ชัยนาท!J143"")"),0)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IFERROR(__xludf.DUMMYFUNCTION("IMPORTRANGE(""https://docs.google.com/spreadsheets/d/1SX6NBoVAgQJ6U1MVXOaj8PK2l7WJ3RER9xtqwdhxkhw/edit?usp=sharing"",""ชัยนาท!I144"")"),13)</f>
        <v>13</v>
      </c>
      <c r="J219" s="268">
        <f ca="1">IFERROR(__xludf.DUMMYFUNCTION("IMPORTRANGE(""https://docs.google.com/spreadsheets/d/1SX6NBoVAgQJ6U1MVXOaj8PK2l7WJ3RER9xtqwdhxkhw/edit?usp=sharing"",""ชัยนาท!J144"")"),13)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IFERROR(__xludf.DUMMYFUNCTION("IMPORTRANGE(""https://docs.google.com/spreadsheets/d/1Yj_ptqi66GCucihVvJfMjLAmec39IyEx_6qawtMGysU/edit?usp=sharing"",""สบก!BS63"")"),19295)</f>
        <v>19295</v>
      </c>
      <c r="N224" s="169">
        <f ca="1">IFERROR(__xludf.DUMMYFUNCTION("IMPORTRANGE(""https://docs.google.com/spreadsheets/d/1Yj_ptqi66GCucihVvJfMjLAmec39IyEx_6qawtMGysU/edit?usp=sharing"",""สบก!BT63"")"),19295)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IFERROR(__xludf.DUMMYFUNCTION("IMPORTRANGE(""https://docs.google.com/spreadsheets/d/1Yj_ptqi66GCucihVvJfMjLAmec39IyEx_6qawtMGysU/edit?usp=sharing"",""สบก!BP63"")"),19295)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IFERROR(__xludf.DUMMYFUNCTION("IMPORTRANGE(""https://docs.google.com/spreadsheets/d/1SX6NBoVAgQJ6U1MVXOaj8PK2l7WJ3RER9xtqwdhxkhw/edit?usp=sharing"",""ชัยนาท!I149"")"),13)</f>
        <v>13</v>
      </c>
      <c r="J229" s="268">
        <f ca="1">IFERROR(__xludf.DUMMYFUNCTION("IMPORTRANGE(""https://docs.google.com/spreadsheets/d/1SX6NBoVAgQJ6U1MVXOaj8PK2l7WJ3RER9xtqwdhxkhw/edit?usp=sharing"",""ชัยนาท!J149"")"),13)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IFERROR(__xludf.DUMMYFUNCTION("IMPORTRANGE(""https://docs.google.com/spreadsheets/d/1SX6NBoVAgQJ6U1MVXOaj8PK2l7WJ3RER9xtqwdhxkhw/edit?usp=sharing"",""ชัยนาท!J151"")"),0)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IFERROR(__xludf.DUMMYFUNCTION("IMPORTRANGE(""https://docs.google.com/spreadsheets/d/1SX6NBoVAgQJ6U1MVXOaj8PK2l7WJ3RER9xtqwdhxkhw/edit?usp=sharing"",""ชัยนาท!J152"")"),1)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IFERROR(__xludf.DUMMYFUNCTION("IMPORTRANGE(""https://docs.google.com/spreadsheets/d/1SX6NBoVAgQJ6U1MVXOaj8PK2l7WJ3RER9xtqwdhxkhw/edit?usp=sharing"",""ชัยนาท!J153"")"),1)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IFERROR(__xludf.DUMMYFUNCTION("IMPORTRANGE(""https://docs.google.com/spreadsheets/d/1SX6NBoVAgQJ6U1MVXOaj8PK2l7WJ3RER9xtqwdhxkhw/edit?usp=sharing"",""ชัยนาท!J154"")"),1)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IFERROR(__xludf.DUMMYFUNCTION("IMPORTRANGE(""https://docs.google.com/spreadsheets/d/1SX6NBoVAgQJ6U1MVXOaj8PK2l7WJ3RER9xtqwdhxkhw/edit?usp=sharing"",""ชัยนาท!I155"")"),13)</f>
        <v>13</v>
      </c>
      <c r="J235" s="189">
        <f ca="1">IFERROR(__xludf.DUMMYFUNCTION("IMPORTRANGE(""https://docs.google.com/spreadsheets/d/1SX6NBoVAgQJ6U1MVXOaj8PK2l7WJ3RER9xtqwdhxkhw/edit?usp=sharing"",""ชัยนาท!J155"")"),13)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IFERROR(__xludf.DUMMYFUNCTION("IMPORTRANGE(""https://docs.google.com/spreadsheets/d/1SX6NBoVAgQJ6U1MVXOaj8PK2l7WJ3RER9xtqwdhxkhw/edit?usp=sharing"",""ชัยนาท!J156"")"),0)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IFERROR(__xludf.DUMMYFUNCTION("IMPORTRANGE(""https://docs.google.com/spreadsheets/d/1SX6NBoVAgQJ6U1MVXOaj8PK2l7WJ3RER9xtqwdhxkhw/edit?usp=sharing"",""ชัยนาท!J157"")"),0)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IFERROR(__xludf.DUMMYFUNCTION("IMPORTRANGE(""https://docs.google.com/spreadsheets/d/1SX6NBoVAgQJ6U1MVXOaj8PK2l7WJ3RER9xtqwdhxkhw/edit?usp=sharing"",""ชัยนาท!I158"")"),0)</f>
        <v>0</v>
      </c>
      <c r="J238" s="268">
        <f ca="1">IFERROR(__xludf.DUMMYFUNCTION("IMPORTRANGE(""https://docs.google.com/spreadsheets/d/1SX6NBoVAgQJ6U1MVXOaj8PK2l7WJ3RER9xtqwdhxkhw/edit?usp=sharing"",""ชัยนาท!J158"")"),0)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IFERROR(__xludf.DUMMYFUNCTION("IMPORTRANGE(""https://docs.google.com/spreadsheets/d/1SX6NBoVAgQJ6U1MVXOaj8PK2l7WJ3RER9xtqwdhxkhw/edit?usp=sharing"",""ชัยนาท!J159"")"),"")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IFERROR(__xludf.DUMMYFUNCTION("IMPORTRANGE(""https://docs.google.com/spreadsheets/d/1SX6NBoVAgQJ6U1MVXOaj8PK2l7WJ3RER9xtqwdhxkhw/edit?usp=sharing"",""ชัยนาท!J161"")"),0)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IFERROR(__xludf.DUMMYFUNCTION("IMPORTRANGE(""https://docs.google.com/spreadsheets/d/1SX6NBoVAgQJ6U1MVXOaj8PK2l7WJ3RER9xtqwdhxkhw/edit?usp=sharing"",""ชัยนาท!J162"")"),0)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IFERROR(__xludf.DUMMYFUNCTION("IMPORTRANGE(""https://docs.google.com/spreadsheets/d/1SX6NBoVAgQJ6U1MVXOaj8PK2l7WJ3RER9xtqwdhxkhw/edit?usp=sharing"",""ชัยนาท!J163"")"),0)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IFERROR(__xludf.DUMMYFUNCTION("IMPORTRANGE(""https://docs.google.com/spreadsheets/d/1SX6NBoVAgQJ6U1MVXOaj8PK2l7WJ3RER9xtqwdhxkhw/edit?usp=sharing"",""ชัยนาท!I164"")"),0)</f>
        <v>0</v>
      </c>
      <c r="J244" s="188">
        <f ca="1">IFERROR(__xludf.DUMMYFUNCTION("IMPORTRANGE(""https://docs.google.com/spreadsheets/d/1SX6NBoVAgQJ6U1MVXOaj8PK2l7WJ3RER9xtqwdhxkhw/edit?usp=sharing"",""ชัยนาท!J164"")"),0)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IFERROR(__xludf.DUMMYFUNCTION("IMPORTRANGE(""https://docs.google.com/spreadsheets/d/1SX6NBoVAgQJ6U1MVXOaj8PK2l7WJ3RER9xtqwdhxkhw/edit?usp=sharing"",""ชัยนาท!J165"")"),0)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IFERROR(__xludf.DUMMYFUNCTION("IMPORTRANGE(""https://docs.google.com/spreadsheets/d/1SX6NBoVAgQJ6U1MVXOaj8PK2l7WJ3RER9xtqwdhxkhw/edit?usp=sharing"",""ชัยนาท!J166"")"),0)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IFERROR(__xludf.DUMMYFUNCTION("IMPORTRANGE(""https://docs.google.com/spreadsheets/d/1SX6NBoVAgQJ6U1MVXOaj8PK2l7WJ3RER9xtqwdhxkhw/edit?usp=sharing"",""ชัยนาท!I169"")"),20)</f>
        <v>20</v>
      </c>
      <c r="J249" s="317">
        <f ca="1">IFERROR(__xludf.DUMMYFUNCTION("IMPORTRANGE(""https://docs.google.com/spreadsheets/d/1SX6NBoVAgQJ6U1MVXOaj8PK2l7WJ3RER9xtqwdhxkhw/edit?usp=sharing"",""ชัยนาท!J169"")"),20)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32280</v>
      </c>
      <c r="O250" s="151">
        <f t="shared" ref="O250:O252" ca="1" si="78">IF(L250&gt;0,N250*100/L250,0)</f>
        <v>45.210084033613448</v>
      </c>
      <c r="P250" s="151">
        <f t="shared" ref="P250:P252" ca="1" si="79">IF(M250&gt;0,N250*100/M250,0)</f>
        <v>76.857142857142861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32280</v>
      </c>
      <c r="O252" s="156">
        <f t="shared" ca="1" si="78"/>
        <v>45.210084033613448</v>
      </c>
      <c r="P252" s="156">
        <f t="shared" ca="1" si="79"/>
        <v>76.857142857142861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IFERROR(__xludf.DUMMYFUNCTION("IMPORTRANGE(""https://docs.google.com/spreadsheets/d/1Yj_ptqi66GCucihVvJfMjLAmec39IyEx_6qawtMGysU/edit?usp=sharing"",""สบก!CB63"")"),42000)</f>
        <v>42000</v>
      </c>
      <c r="N254" s="169">
        <f ca="1">IFERROR(__xludf.DUMMYFUNCTION("IMPORTRANGE(""https://docs.google.com/spreadsheets/d/1Yj_ptqi66GCucihVvJfMjLAmec39IyEx_6qawtMGysU/edit?usp=sharing"",""สบก!CC63"")"),32280)</f>
        <v>32280</v>
      </c>
      <c r="O254" s="169">
        <f ca="1">IF(L254&gt;0,N254*100/L254,0)</f>
        <v>45.210084033613448</v>
      </c>
      <c r="P254" s="169">
        <f ca="1">IF(M254&gt;0,N254*100/M254,0)</f>
        <v>76.857142857142861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IFERROR(__xludf.DUMMYFUNCTION("IMPORTRANGE(""https://docs.google.com/spreadsheets/d/1Yj_ptqi66GCucihVvJfMjLAmec39IyEx_6qawtMGysU/edit?usp=sharing"",""สบก!BY63"")"),71400)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IFERROR(__xludf.DUMMYFUNCTION("IMPORTRANGE(""https://docs.google.com/spreadsheets/d/1SX6NBoVAgQJ6U1MVXOaj8PK2l7WJ3RER9xtqwdhxkhw/edit?usp=sharing"",""ชัยนาท!J175"")"),0)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IFERROR(__xludf.DUMMYFUNCTION("IMPORTRANGE(""https://docs.google.com/spreadsheets/d/1SX6NBoVAgQJ6U1MVXOaj8PK2l7WJ3RER9xtqwdhxkhw/edit?usp=sharing"",""ชัยนาท!J176"")"),1)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IFERROR(__xludf.DUMMYFUNCTION("IMPORTRANGE(""https://docs.google.com/spreadsheets/d/1SX6NBoVAgQJ6U1MVXOaj8PK2l7WJ3RER9xtqwdhxkhw/edit?usp=sharing"",""ชัยนาท!J177"")"),1)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IFERROR(__xludf.DUMMYFUNCTION("IMPORTRANGE(""https://docs.google.com/spreadsheets/d/1SX6NBoVAgQJ6U1MVXOaj8PK2l7WJ3RER9xtqwdhxkhw/edit?usp=sharing"",""ชัยนาท!J178"")"),1)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IFERROR(__xludf.DUMMYFUNCTION("IMPORTRANGE(""https://docs.google.com/spreadsheets/d/1SX6NBoVAgQJ6U1MVXOaj8PK2l7WJ3RER9xtqwdhxkhw/edit?usp=sharing"",""ชัยนาท!I179"")"),1)</f>
        <v>1</v>
      </c>
      <c r="J264" s="189">
        <f ca="1">IFERROR(__xludf.DUMMYFUNCTION("IMPORTRANGE(""https://docs.google.com/spreadsheets/d/1SX6NBoVAgQJ6U1MVXOaj8PK2l7WJ3RER9xtqwdhxkhw/edit?usp=sharing"",""ชัยนาท!J179"")"),1)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IFERROR(__xludf.DUMMYFUNCTION("IMPORTRANGE(""https://docs.google.com/spreadsheets/d/1SX6NBoVAgQJ6U1MVXOaj8PK2l7WJ3RER9xtqwdhxkhw/edit?usp=sharing"",""ชัยนาท!I180"")"),20)</f>
        <v>20</v>
      </c>
      <c r="J265" s="189">
        <f ca="1">IFERROR(__xludf.DUMMYFUNCTION("IMPORTRANGE(""https://docs.google.com/spreadsheets/d/1SX6NBoVAgQJ6U1MVXOaj8PK2l7WJ3RER9xtqwdhxkhw/edit?usp=sharing"",""ชัยนาท!J180"")"),20)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IFERROR(__xludf.DUMMYFUNCTION("IMPORTRANGE(""https://docs.google.com/spreadsheets/d/1SX6NBoVAgQJ6U1MVXOaj8PK2l7WJ3RER9xtqwdhxkhw/edit?usp=sharing"",""ชัยนาท!I181"")"),20)</f>
        <v>20</v>
      </c>
      <c r="J266" s="189">
        <f ca="1">IFERROR(__xludf.DUMMYFUNCTION("IMPORTRANGE(""https://docs.google.com/spreadsheets/d/1SX6NBoVAgQJ6U1MVXOaj8PK2l7WJ3RER9xtqwdhxkhw/edit?usp=sharing"",""ชัยนาท!J181"")"),0)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IFERROR(__xludf.DUMMYFUNCTION("IMPORTRANGE(""https://docs.google.com/spreadsheets/d/1SX6NBoVAgQJ6U1MVXOaj8PK2l7WJ3RER9xtqwdhxkhw/edit?usp=sharing"",""ชัยนาท!I182"")"),1)</f>
        <v>1</v>
      </c>
      <c r="J267" s="189">
        <f ca="1">IFERROR(__xludf.DUMMYFUNCTION("IMPORTRANGE(""https://docs.google.com/spreadsheets/d/1SX6NBoVAgQJ6U1MVXOaj8PK2l7WJ3RER9xtqwdhxkhw/edit?usp=sharing"",""ชัยนาท!J182"")"),1)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IFERROR(__xludf.DUMMYFUNCTION("IMPORTRANGE(""https://docs.google.com/spreadsheets/d/1SX6NBoVAgQJ6U1MVXOaj8PK2l7WJ3RER9xtqwdhxkhw/edit?usp=sharing"",""ชัยนาท!J183"")"),0)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IFERROR(__xludf.DUMMYFUNCTION("IMPORTRANGE(""https://docs.google.com/spreadsheets/d/1SX6NBoVAgQJ6U1MVXOaj8PK2l7WJ3RER9xtqwdhxkhw/edit?usp=sharing"",""ชัยนาท!J184"")"),0)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IFERROR(__xludf.DUMMYFUNCTION("IMPORTRANGE(""https://docs.google.com/spreadsheets/d/1SX6NBoVAgQJ6U1MVXOaj8PK2l7WJ3RER9xtqwdhxkhw/edit?usp=sharing"",""ชัยนาท!I185"")"),15)</f>
        <v>15</v>
      </c>
      <c r="J270" s="317">
        <f ca="1">IFERROR(__xludf.DUMMYFUNCTION("IMPORTRANGE(""https://docs.google.com/spreadsheets/d/1SX6NBoVAgQJ6U1MVXOaj8PK2l7WJ3RER9xtqwdhxkhw/edit?usp=sharing"",""ชัยนาท!J185"")"),15)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165200</v>
      </c>
      <c r="M271" s="152">
        <f t="shared" ca="1" si="83"/>
        <v>143200</v>
      </c>
      <c r="N271" s="152">
        <f t="shared" ca="1" si="83"/>
        <v>88780</v>
      </c>
      <c r="O271" s="151">
        <f t="shared" ref="O271:O273" ca="1" si="84">IF(L271&gt;0,N271*100/L271,0)</f>
        <v>53.7409200968523</v>
      </c>
      <c r="P271" s="151">
        <f t="shared" ref="P271:P273" ca="1" si="85">IF(M271&gt;0,N271*100/M271,0)</f>
        <v>61.997206703910614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165200</v>
      </c>
      <c r="M273" s="157">
        <f t="shared" ca="1" si="87"/>
        <v>143200</v>
      </c>
      <c r="N273" s="157">
        <f t="shared" ca="1" si="87"/>
        <v>88780</v>
      </c>
      <c r="O273" s="156">
        <f t="shared" ca="1" si="84"/>
        <v>53.7409200968523</v>
      </c>
      <c r="P273" s="156">
        <f t="shared" ca="1" si="85"/>
        <v>61.997206703910614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165200</v>
      </c>
      <c r="M275" s="168">
        <f ca="1">IFERROR(__xludf.DUMMYFUNCTION("IMPORTRANGE(""https://docs.google.com/spreadsheets/d/1Yj_ptqi66GCucihVvJfMjLAmec39IyEx_6qawtMGysU/edit?usp=sharing"",""สบก!CK63"")"),143200)</f>
        <v>143200</v>
      </c>
      <c r="N275" s="169">
        <f ca="1">IFERROR(__xludf.DUMMYFUNCTION("IMPORTRANGE(""https://docs.google.com/spreadsheets/d/1Yj_ptqi66GCucihVvJfMjLAmec39IyEx_6qawtMGysU/edit?usp=sharing"",""สบก!CL63"")"),88780)</f>
        <v>88780</v>
      </c>
      <c r="O275" s="169">
        <f ca="1">IF(L275&gt;0,N275*100/L275,0)</f>
        <v>53.7409200968523</v>
      </c>
      <c r="P275" s="169">
        <f ca="1">IF(M275&gt;0,N275*100/M275,0)</f>
        <v>61.997206703910614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IFERROR(__xludf.DUMMYFUNCTION("IMPORTRANGE(""https://docs.google.com/spreadsheets/d/1Yj_ptqi66GCucihVvJfMjLAmec39IyEx_6qawtMGysU/edit?usp=sharing"",""สบก!CG63"")"),0)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IFERROR(__xludf.DUMMYFUNCTION("IMPORTRANGE(""https://docs.google.com/spreadsheets/d/1Yj_ptqi66GCucihVvJfMjLAmec39IyEx_6qawtMGysU/edit?usp=sharing"",""สบก!CH63"")"),165200)</f>
        <v>165200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IFERROR(__xludf.DUMMYFUNCTION("IMPORTRANGE(""https://docs.google.com/spreadsheets/d/1SX6NBoVAgQJ6U1MVXOaj8PK2l7WJ3RER9xtqwdhxkhw/edit?usp=sharing"",""ชัยนาท!J191"")"),0)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IFERROR(__xludf.DUMMYFUNCTION("IMPORTRANGE(""https://docs.google.com/spreadsheets/d/1SX6NBoVAgQJ6U1MVXOaj8PK2l7WJ3RER9xtqwdhxkhw/edit?usp=sharing"",""ชัยนาท!J192"")"),1)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IFERROR(__xludf.DUMMYFUNCTION("IMPORTRANGE(""https://docs.google.com/spreadsheets/d/1SX6NBoVAgQJ6U1MVXOaj8PK2l7WJ3RER9xtqwdhxkhw/edit?usp=sharing"",""ชัยนาท!J193"")"),1)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IFERROR(__xludf.DUMMYFUNCTION("IMPORTRANGE(""https://docs.google.com/spreadsheets/d/1SX6NBoVAgQJ6U1MVXOaj8PK2l7WJ3RER9xtqwdhxkhw/edit?usp=sharing"",""ชัยนาท!J194"")"),1)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IFERROR(__xludf.DUMMYFUNCTION("IMPORTRANGE(""https://docs.google.com/spreadsheets/d/1SX6NBoVAgQJ6U1MVXOaj8PK2l7WJ3RER9xtqwdhxkhw/edit?usp=sharing"",""ชัยนาท!I195"")"),15)</f>
        <v>15</v>
      </c>
      <c r="J285" s="189">
        <f ca="1">IFERROR(__xludf.DUMMYFUNCTION("IMPORTRANGE(""https://docs.google.com/spreadsheets/d/1SX6NBoVAgQJ6U1MVXOaj8PK2l7WJ3RER9xtqwdhxkhw/edit?usp=sharing"",""ชัยนาท!J195"")"),15)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IFERROR(__xludf.DUMMYFUNCTION("IMPORTRANGE(""https://docs.google.com/spreadsheets/d/1SX6NBoVAgQJ6U1MVXOaj8PK2l7WJ3RER9xtqwdhxkhw/edit?usp=sharing"",""ชัยนาท!J196"")"),0)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IFERROR(__xludf.DUMMYFUNCTION("IMPORTRANGE(""https://docs.google.com/spreadsheets/d/1SX6NBoVAgQJ6U1MVXOaj8PK2l7WJ3RER9xtqwdhxkhw/edit?usp=sharing"",""ชัยนาท!J197"")"),0)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IFERROR(__xludf.DUMMYFUNCTION("IMPORTRANGE(""https://docs.google.com/spreadsheets/d/1SX6NBoVAgQJ6U1MVXOaj8PK2l7WJ3RER9xtqwdhxkhw/edit?usp=sharing"",""ชัยนาท!I199"")"),0)</f>
        <v>0</v>
      </c>
      <c r="J289" s="317">
        <f ca="1">IFERROR(__xludf.DUMMYFUNCTION("IMPORTRANGE(""https://docs.google.com/spreadsheets/d/1SX6NBoVAgQJ6U1MVXOaj8PK2l7WJ3RER9xtqwdhxkhw/edit?usp=sharing"",""ชัยนาท!J199"")"),0)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IFERROR(__xludf.DUMMYFUNCTION("IMPORTRANGE(""https://docs.google.com/spreadsheets/d/1Yj_ptqi66GCucihVvJfMjLAmec39IyEx_6qawtMGysU/edit?usp=sharing"",""สบก!CT63"")"),0)</f>
        <v>0</v>
      </c>
      <c r="N294" s="169">
        <f ca="1">IFERROR(__xludf.DUMMYFUNCTION("IMPORTRANGE(""https://docs.google.com/spreadsheets/d/1Yj_ptqi66GCucihVvJfMjLAmec39IyEx_6qawtMGysU/edit?usp=sharing"",""สบก!CU63"")"),0)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IFERROR(__xludf.DUMMYFUNCTION("IMPORTRANGE(""https://docs.google.com/spreadsheets/d/1SX6NBoVAgQJ6U1MVXOaj8PK2l7WJ3RER9xtqwdhxkhw/edit?usp=sharing"",""ชัยนาท!J205"")"),0)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IFERROR(__xludf.DUMMYFUNCTION("IMPORTRANGE(""https://docs.google.com/spreadsheets/d/1SX6NBoVAgQJ6U1MVXOaj8PK2l7WJ3RER9xtqwdhxkhw/edit?usp=sharing"",""ชัยนาท!J206"")"),0)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IFERROR(__xludf.DUMMYFUNCTION("IMPORTRANGE(""https://docs.google.com/spreadsheets/d/1SX6NBoVAgQJ6U1MVXOaj8PK2l7WJ3RER9xtqwdhxkhw/edit?usp=sharing"",""ชัยนาท!J207"")"),0)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IFERROR(__xludf.DUMMYFUNCTION("IMPORTRANGE(""https://docs.google.com/spreadsheets/d/1SX6NBoVAgQJ6U1MVXOaj8PK2l7WJ3RER9xtqwdhxkhw/edit?usp=sharing"",""ชัยนาท!J208"")"),0)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IFERROR(__xludf.DUMMYFUNCTION("IMPORTRANGE(""https://docs.google.com/spreadsheets/d/1SX6NBoVAgQJ6U1MVXOaj8PK2l7WJ3RER9xtqwdhxkhw/edit?usp=sharing"",""ชัยนาท!I209"")"),0)</f>
        <v>0</v>
      </c>
      <c r="J304" s="204">
        <f ca="1">IFERROR(__xludf.DUMMYFUNCTION("IMPORTRANGE(""https://docs.google.com/spreadsheets/d/1SX6NBoVAgQJ6U1MVXOaj8PK2l7WJ3RER9xtqwdhxkhw/edit?usp=sharing"",""ชัยนาท!J209"")"),0)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IFERROR(__xludf.DUMMYFUNCTION("IMPORTRANGE(""https://docs.google.com/spreadsheets/d/1SX6NBoVAgQJ6U1MVXOaj8PK2l7WJ3RER9xtqwdhxkhw/edit?usp=sharing"",""ชัยนาท!I211"")"),0)</f>
        <v>0</v>
      </c>
      <c r="J306" s="204">
        <f ca="1">IFERROR(__xludf.DUMMYFUNCTION("IMPORTRANGE(""https://docs.google.com/spreadsheets/d/1SX6NBoVAgQJ6U1MVXOaj8PK2l7WJ3RER9xtqwdhxkhw/edit?usp=sharing"",""ชัยนาท!J211"")"),0)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IFERROR(__xludf.DUMMYFUNCTION("IMPORTRANGE(""https://docs.google.com/spreadsheets/d/1SX6NBoVAgQJ6U1MVXOaj8PK2l7WJ3RER9xtqwdhxkhw/edit?usp=sharing"",""ชัยนาท!J212"")"),0)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IFERROR(__xludf.DUMMYFUNCTION("IMPORTRANGE(""https://docs.google.com/spreadsheets/d/1SX6NBoVAgQJ6U1MVXOaj8PK2l7WJ3RER9xtqwdhxkhw/edit?usp=sharing"",""ชัยนาท!J213"")"),0)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IFERROR(__xludf.DUMMYFUNCTION("IMPORTRANGE(""https://docs.google.com/spreadsheets/d/1SX6NBoVAgQJ6U1MVXOaj8PK2l7WJ3RER9xtqwdhxkhw/edit?usp=sharing"",""ชัยนาท!I214"")"),0)</f>
        <v>0</v>
      </c>
      <c r="J309" s="334">
        <f ca="1">IFERROR(__xludf.DUMMYFUNCTION("IMPORTRANGE(""https://docs.google.com/spreadsheets/d/1SX6NBoVAgQJ6U1MVXOaj8PK2l7WJ3RER9xtqwdhxkhw/edit?usp=sharing"",""ชัยนาท!J214"")"),0)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IFERROR(__xludf.DUMMYFUNCTION("IMPORTRANGE(""https://docs.google.com/spreadsheets/d/1Yj_ptqi66GCucihVvJfMjLAmec39IyEx_6qawtMGysU/edit?usp=sharing"",""สบก!DC63"")"),0)</f>
        <v>0</v>
      </c>
      <c r="N314" s="169">
        <f ca="1">IFERROR(__xludf.DUMMYFUNCTION("IMPORTRANGE(""https://docs.google.com/spreadsheets/d/1Yj_ptqi66GCucihVvJfMjLAmec39IyEx_6qawtMGysU/edit?usp=sharing"",""สบก!DD63"")"),0)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IFERROR(__xludf.DUMMYFUNCTION("IMPORTRANGE(""https://docs.google.com/spreadsheets/d/1SX6NBoVAgQJ6U1MVXOaj8PK2l7WJ3RER9xtqwdhxkhw/edit?usp=sharing"",""ชัยนาท!J220"")"),0)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IFERROR(__xludf.DUMMYFUNCTION("IMPORTRANGE(""https://docs.google.com/spreadsheets/d/1SX6NBoVAgQJ6U1MVXOaj8PK2l7WJ3RER9xtqwdhxkhw/edit?usp=sharing"",""ชัยนาท!J221"")"),0)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IFERROR(__xludf.DUMMYFUNCTION("IMPORTRANGE(""https://docs.google.com/spreadsheets/d/1SX6NBoVAgQJ6U1MVXOaj8PK2l7WJ3RER9xtqwdhxkhw/edit?usp=sharing"",""ชัยนาท!J222"")"),0)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IFERROR(__xludf.DUMMYFUNCTION("IMPORTRANGE(""https://docs.google.com/spreadsheets/d/1SX6NBoVAgQJ6U1MVXOaj8PK2l7WJ3RER9xtqwdhxkhw/edit?usp=sharing"",""ชัยนาท!J223"")"),0)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IFERROR(__xludf.DUMMYFUNCTION("IMPORTRANGE(""https://docs.google.com/spreadsheets/d/1SX6NBoVAgQJ6U1MVXOaj8PK2l7WJ3RER9xtqwdhxkhw/edit?usp=sharing"",""ชัยนาท!I224"")"),0)</f>
        <v>0</v>
      </c>
      <c r="J324" s="204">
        <f ca="1">IFERROR(__xludf.DUMMYFUNCTION("IMPORTRANGE(""https://docs.google.com/spreadsheets/d/1SX6NBoVAgQJ6U1MVXOaj8PK2l7WJ3RER9xtqwdhxkhw/edit?usp=sharing"",""ชัยนาท!J224"")"),0)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IFERROR(__xludf.DUMMYFUNCTION("IMPORTRANGE(""https://docs.google.com/spreadsheets/d/1SX6NBoVAgQJ6U1MVXOaj8PK2l7WJ3RER9xtqwdhxkhw/edit?usp=sharing"",""ชัยนาท!J225"")"),0)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IFERROR(__xludf.DUMMYFUNCTION("IMPORTRANGE(""https://docs.google.com/spreadsheets/d/1SX6NBoVAgQJ6U1MVXOaj8PK2l7WJ3RER9xtqwdhxkhw/edit?usp=sharing"",""ชัยนาท!J226"")"),0)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IFERROR(__xludf.DUMMYFUNCTION("IMPORTRANGE(""https://docs.google.com/spreadsheets/d/1SX6NBoVAgQJ6U1MVXOaj8PK2l7WJ3RER9xtqwdhxkhw/edit?usp=sharing"",""ชัยนาท!I228"")"),37)</f>
        <v>37</v>
      </c>
      <c r="J328" s="340">
        <f ca="1">IFERROR(__xludf.DUMMYFUNCTION("IMPORTRANGE(""https://docs.google.com/spreadsheets/d/1SX6NBoVAgQJ6U1MVXOaj8PK2l7WJ3RER9xtqwdhxkhw/edit?usp=sharing"",""ชัยนาท!J228"")"),19)</f>
        <v>19</v>
      </c>
      <c r="K328" s="318">
        <f ca="1">IF(I328&gt;0,J328*100/I328,0)</f>
        <v>51.351351351351354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648100</v>
      </c>
      <c r="M329" s="152">
        <f t="shared" ca="1" si="98"/>
        <v>511980</v>
      </c>
      <c r="N329" s="152">
        <f t="shared" ca="1" si="98"/>
        <v>459029</v>
      </c>
      <c r="O329" s="151">
        <f t="shared" ref="O329:O331" ca="1" si="99">IF(L329&gt;0,N329*100/L329,0)</f>
        <v>70.826878568122197</v>
      </c>
      <c r="P329" s="151">
        <f t="shared" ref="P329:P331" ca="1" si="100">IF(M329&gt;0,N329*100/M329,0)</f>
        <v>89.657603812648929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648100</v>
      </c>
      <c r="M331" s="157">
        <f t="shared" ca="1" si="102"/>
        <v>511980</v>
      </c>
      <c r="N331" s="157">
        <f t="shared" ca="1" si="102"/>
        <v>459029</v>
      </c>
      <c r="O331" s="156">
        <f t="shared" ca="1" si="99"/>
        <v>70.826878568122197</v>
      </c>
      <c r="P331" s="156">
        <f t="shared" ca="1" si="100"/>
        <v>89.657603812648929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509100</v>
      </c>
      <c r="M333" s="168">
        <f ca="1">IFERROR(__xludf.DUMMYFUNCTION("IMPORTRANGE(""https://docs.google.com/spreadsheets/d/1Yj_ptqi66GCucihVvJfMjLAmec39IyEx_6qawtMGysU/edit?usp=sharing"",""สบก!DL63"")"),372980)</f>
        <v>372980</v>
      </c>
      <c r="N333" s="169">
        <f ca="1">IFERROR(__xludf.DUMMYFUNCTION("IMPORTRANGE(""https://docs.google.com/spreadsheets/d/1Yj_ptqi66GCucihVvJfMjLAmec39IyEx_6qawtMGysU/edit?usp=sharing"",""สบก!DM63"")"),320029)</f>
        <v>320029</v>
      </c>
      <c r="O333" s="169">
        <f ca="1">IF(L333&gt;0,N333*100/L333,0)</f>
        <v>62.861716755057948</v>
      </c>
      <c r="P333" s="169">
        <f ca="1">IF(M333&gt;0,N333*100/M333,0)</f>
        <v>85.803260228430474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IFERROR(__xludf.DUMMYFUNCTION("IMPORTRANGE(""https://docs.google.com/spreadsheets/d/1Yj_ptqi66GCucihVvJfMjLAmec39IyEx_6qawtMGysU/edit?usp=sharing"",""สบก!DH63"")"),306000)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IFERROR(__xludf.DUMMYFUNCTION("IMPORTRANGE(""https://docs.google.com/spreadsheets/d/1Yj_ptqi66GCucihVvJfMjLAmec39IyEx_6qawtMGysU/edit?usp=sharing"",""สบก!DI63"")"),203100)</f>
        <v>203100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IFERROR(__xludf.DUMMYFUNCTION("IMPORTRANGE(""https://docs.google.com/spreadsheets/d/1Yj_ptqi66GCucihVvJfMjLAmec39IyEx_6qawtMGysU/edit?usp=sharing"",""สบก!DJ63"")"),139000)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IFERROR(__xludf.DUMMYFUNCTION("IMPORTRANGE(""https://docs.google.com/spreadsheets/d/1SX6NBoVAgQJ6U1MVXOaj8PK2l7WJ3RER9xtqwdhxkhw/edit?usp=sharing"",""ชัยนาท!I234"")"),0)</f>
        <v>0</v>
      </c>
      <c r="J339" s="188">
        <f ca="1">IFERROR(__xludf.DUMMYFUNCTION("IMPORTRANGE(""https://docs.google.com/spreadsheets/d/1SX6NBoVAgQJ6U1MVXOaj8PK2l7WJ3RER9xtqwdhxkhw/edit?usp=sharing"",""ชัยนาท!J234"")"),14)</f>
        <v>14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IFERROR(__xludf.DUMMYFUNCTION("IMPORTRANGE(""https://docs.google.com/spreadsheets/d/1SX6NBoVAgQJ6U1MVXOaj8PK2l7WJ3RER9xtqwdhxkhw/edit?usp=sharing"",""ชัยนาท!I235"")"),135)</f>
        <v>135</v>
      </c>
      <c r="J340" s="188">
        <f ca="1">IFERROR(__xludf.DUMMYFUNCTION("IMPORTRANGE(""https://docs.google.com/spreadsheets/d/1SX6NBoVAgQJ6U1MVXOaj8PK2l7WJ3RER9xtqwdhxkhw/edit?usp=sharing"",""ชัยนาท!J235"")"),136.62)</f>
        <v>136.62</v>
      </c>
      <c r="K340" s="343">
        <f t="shared" ca="1" si="103"/>
        <v>101.2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IFERROR(__xludf.DUMMYFUNCTION("IMPORTRANGE(""https://docs.google.com/spreadsheets/d/1SX6NBoVAgQJ6U1MVXOaj8PK2l7WJ3RER9xtqwdhxkhw/edit?usp=sharing"",""ชัยนาท!I236"")"),37)</f>
        <v>37</v>
      </c>
      <c r="J341" s="188">
        <f ca="1">IFERROR(__xludf.DUMMYFUNCTION("IMPORTRANGE(""https://docs.google.com/spreadsheets/d/1SX6NBoVAgQJ6U1MVXOaj8PK2l7WJ3RER9xtqwdhxkhw/edit?usp=sharing"",""ชัยนาท!J236"")"),22)</f>
        <v>22</v>
      </c>
      <c r="K341" s="343">
        <f t="shared" ca="1" si="103"/>
        <v>59.45945945945946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8">
        <f ca="1">IFERROR(__xludf.DUMMYFUNCTION("IMPORTRANGE(""https://docs.google.com/spreadsheets/d/1SX6NBoVAgQJ6U1MVXOaj8PK2l7WJ3RER9xtqwdhxkhw/edit?usp=sharing"",""ชัยนาท!J237"")"),254.44)</f>
        <v>254.44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IFERROR(__xludf.DUMMYFUNCTION("IMPORTRANGE(""https://docs.google.com/spreadsheets/d/1SX6NBoVAgQJ6U1MVXOaj8PK2l7WJ3RER9xtqwdhxkhw/edit?usp=sharing"",""ชัยนาท!I238"")"),37)</f>
        <v>37</v>
      </c>
      <c r="J343" s="188">
        <f ca="1">IFERROR(__xludf.DUMMYFUNCTION("IMPORTRANGE(""https://docs.google.com/spreadsheets/d/1SX6NBoVAgQJ6U1MVXOaj8PK2l7WJ3RER9xtqwdhxkhw/edit?usp=sharing"",""ชัยนาท!J238"")"),0)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8">
        <f ca="1">IFERROR(__xludf.DUMMYFUNCTION("IMPORTRANGE(""https://docs.google.com/spreadsheets/d/1SX6NBoVAgQJ6U1MVXOaj8PK2l7WJ3RER9xtqwdhxkhw/edit?usp=sharing"",""ชัยนาท!J239"")"),0)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IFERROR(__xludf.DUMMYFUNCTION("IMPORTRANGE(""https://docs.google.com/spreadsheets/d/1SX6NBoVAgQJ6U1MVXOaj8PK2l7WJ3RER9xtqwdhxkhw/edit?usp=sharing"",""ชัยนาท!I240"")"),37)</f>
        <v>37</v>
      </c>
      <c r="J345" s="188">
        <f ca="1">IFERROR(__xludf.DUMMYFUNCTION("IMPORTRANGE(""https://docs.google.com/spreadsheets/d/1SX6NBoVAgQJ6U1MVXOaj8PK2l7WJ3RER9xtqwdhxkhw/edit?usp=sharing"",""ชัยนาท!J240"")"),19)</f>
        <v>19</v>
      </c>
      <c r="K345" s="343">
        <f t="shared" ca="1" si="103"/>
        <v>51.351351351351354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8">
        <f ca="1">IFERROR(__xludf.DUMMYFUNCTION("IMPORTRANGE(""https://docs.google.com/spreadsheets/d/1SX6NBoVAgQJ6U1MVXOaj8PK2l7WJ3RER9xtqwdhxkhw/edit?usp=sharing"",""ชัยนาท!J241"")"),238.53)</f>
        <v>238.53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IFERROR(__xludf.DUMMYFUNCTION("IMPORTRANGE(""https://docs.google.com/spreadsheets/d/1SX6NBoVAgQJ6U1MVXOaj8PK2l7WJ3RER9xtqwdhxkhw/edit?usp=sharing"",""ชัยนาท!L242"")"),833674)</f>
        <v>833674</v>
      </c>
      <c r="M347" s="358"/>
      <c r="N347" s="358">
        <f ca="1">IFERROR(__xludf.DUMMYFUNCTION("IMPORTRANGE(""https://docs.google.com/spreadsheets/d/1SX6NBoVAgQJ6U1MVXOaj8PK2l7WJ3RER9xtqwdhxkhw/edit?usp=sharing"",""ชัยนาท!M242"")"),507925)</f>
        <v>507925</v>
      </c>
      <c r="O347" s="358">
        <f ca="1">+IF(L347&gt;0,N347*100/L347,0)</f>
        <v>60.926093413012758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IFERROR(__xludf.DUMMYFUNCTION("IMPORTRANGE(""https://docs.google.com/spreadsheets/d/1SX6NBoVAgQJ6U1MVXOaj8PK2l7WJ3RER9xtqwdhxkhw/edit?usp=sharing"",""ชัยนาท!L244"")"),49720)</f>
        <v>49720</v>
      </c>
      <c r="M349" s="373"/>
      <c r="N349" s="373">
        <f ca="1">IFERROR(__xludf.DUMMYFUNCTION("IMPORTRANGE(""https://docs.google.com/spreadsheets/d/1SX6NBoVAgQJ6U1MVXOaj8PK2l7WJ3RER9xtqwdhxkhw/edit?usp=sharing"",""ชัยนาท!M244"")"),19635)</f>
        <v>19635</v>
      </c>
      <c r="O349" s="373">
        <f ca="1">+IF(L349&gt;0,N349*100/L349,0)</f>
        <v>39.491150442477874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IFERROR(__xludf.DUMMYFUNCTION("IMPORTRANGE(""https://docs.google.com/spreadsheets/d/1SX6NBoVAgQJ6U1MVXOaj8PK2l7WJ3RER9xtqwdhxkhw/edit?usp=sharing"",""ชัยนาท!L246"")"),0)</f>
        <v>0</v>
      </c>
      <c r="M351" s="164"/>
      <c r="N351" s="164">
        <f ca="1">IFERROR(__xludf.DUMMYFUNCTION("IMPORTRANGE(""https://docs.google.com/spreadsheets/d/1SX6NBoVAgQJ6U1MVXOaj8PK2l7WJ3RER9xtqwdhxkhw/edit?usp=sharing"",""ชัยนาท!M246"")"),0)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IFERROR(__xludf.DUMMYFUNCTION("IMPORTRANGE(""https://docs.google.com/spreadsheets/d/1SX6NBoVAgQJ6U1MVXOaj8PK2l7WJ3RER9xtqwdhxkhw/edit?usp=sharing"",""ชัยนาท!L247"")"),49720)</f>
        <v>49720</v>
      </c>
      <c r="M352" s="165"/>
      <c r="N352" s="164">
        <f ca="1">IFERROR(__xludf.DUMMYFUNCTION("IMPORTRANGE(""https://docs.google.com/spreadsheets/d/1SX6NBoVAgQJ6U1MVXOaj8PK2l7WJ3RER9xtqwdhxkhw/edit?usp=sharing"",""ชัยนาท!M247"")"),19635)</f>
        <v>19635</v>
      </c>
      <c r="O352" s="165">
        <f t="shared" ca="1" si="105"/>
        <v>39.491150442477874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IFERROR(__xludf.DUMMYFUNCTION("IMPORTRANGE(""https://docs.google.com/spreadsheets/d/1SX6NBoVAgQJ6U1MVXOaj8PK2l7WJ3RER9xtqwdhxkhw/edit?usp=sharing"",""ชัยนาท!L248"")"),0)</f>
        <v>0</v>
      </c>
      <c r="M353" s="169"/>
      <c r="N353" s="169">
        <f ca="1">IFERROR(__xludf.DUMMYFUNCTION("IMPORTRANGE(""https://docs.google.com/spreadsheets/d/1SX6NBoVAgQJ6U1MVXOaj8PK2l7WJ3RER9xtqwdhxkhw/edit?usp=sharing"",""ชัยนาท!M248"")"),0)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IFERROR(__xludf.DUMMYFUNCTION("IMPORTRANGE(""https://docs.google.com/spreadsheets/d/1SX6NBoVAgQJ6U1MVXOaj8PK2l7WJ3RER9xtqwdhxkhw/edit?usp=sharing"",""ชัยนาท!L249"")"),49720)</f>
        <v>49720</v>
      </c>
      <c r="M354" s="169"/>
      <c r="N354" s="168">
        <f ca="1">IFERROR(__xludf.DUMMYFUNCTION("IMPORTRANGE(""https://docs.google.com/spreadsheets/d/1SX6NBoVAgQJ6U1MVXOaj8PK2l7WJ3RER9xtqwdhxkhw/edit?usp=sharing"",""ชัยนาท!M249"")"),19635)</f>
        <v>19635</v>
      </c>
      <c r="O354" s="169">
        <f t="shared" ca="1" si="105"/>
        <v>39.491150442477874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IFERROR(__xludf.DUMMYFUNCTION("IMPORTRANGE(""https://docs.google.com/spreadsheets/d/1SX6NBoVAgQJ6U1MVXOaj8PK2l7WJ3RER9xtqwdhxkhw/edit?usp=sharing"",""ชัยนาท!M251"")"),1220)</f>
        <v>1220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IFERROR(__xludf.DUMMYFUNCTION("IMPORTRANGE(""https://docs.google.com/spreadsheets/d/1SX6NBoVAgQJ6U1MVXOaj8PK2l7WJ3RER9xtqwdhxkhw/edit?usp=sharing"",""ชัยนาท!M253"")"),2215)</f>
        <v>2215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IFERROR(__xludf.DUMMYFUNCTION("IMPORTRANGE(""https://docs.google.com/spreadsheets/d/1SX6NBoVAgQJ6U1MVXOaj8PK2l7WJ3RER9xtqwdhxkhw/edit?usp=sharing"",""ชัยนาท!J255"")"),0)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IFERROR(__xludf.DUMMYFUNCTION("IMPORTRANGE(""https://docs.google.com/spreadsheets/d/1SX6NBoVAgQJ6U1MVXOaj8PK2l7WJ3RER9xtqwdhxkhw/edit?usp=sharing"",""ชัยนาท!J256"")"),1)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IFERROR(__xludf.DUMMYFUNCTION("IMPORTRANGE(""https://docs.google.com/spreadsheets/d/1SX6NBoVAgQJ6U1MVXOaj8PK2l7WJ3RER9xtqwdhxkhw/edit?usp=sharing"",""ชัยนาท!J257"")"),1)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IFERROR(__xludf.DUMMYFUNCTION("IMPORTRANGE(""https://docs.google.com/spreadsheets/d/1SX6NBoVAgQJ6U1MVXOaj8PK2l7WJ3RER9xtqwdhxkhw/edit?usp=sharing"",""ชัยนาท!J258"")"),1)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IFERROR(__xludf.DUMMYFUNCTION("IMPORTRANGE(""https://docs.google.com/spreadsheets/d/1SX6NBoVAgQJ6U1MVXOaj8PK2l7WJ3RER9xtqwdhxkhw/edit?usp=sharing"",""ชัยนาท!J166"")"),0)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IFERROR(__xludf.DUMMYFUNCTION("IMPORTRANGE(""https://docs.google.com/spreadsheets/d/1SX6NBoVAgQJ6U1MVXOaj8PK2l7WJ3RER9xtqwdhxkhw/edit?usp=sharing"",""ชัยนาท!J166"")"),0)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IFERROR(__xludf.DUMMYFUNCTION("IMPORTRANGE(""https://docs.google.com/spreadsheets/d/1SX6NBoVAgQJ6U1MVXOaj8PK2l7WJ3RER9xtqwdhxkhw/edit?usp=sharing"",""ชัยนาท!J166"")"),0)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IFERROR(__xludf.DUMMYFUNCTION("IMPORTRANGE(""https://docs.google.com/spreadsheets/d/1SX6NBoVAgQJ6U1MVXOaj8PK2l7WJ3RER9xtqwdhxkhw/edit?usp=sharing"",""ชัยนาท!J166"")"),0)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IFERROR(__xludf.DUMMYFUNCTION("IMPORTRANGE(""https://docs.google.com/spreadsheets/d/1SX6NBoVAgQJ6U1MVXOaj8PK2l7WJ3RER9xtqwdhxkhw/edit?usp=sharing"",""ชัยนาท!I263"")"),10)</f>
        <v>10</v>
      </c>
      <c r="J368" s="188">
        <f ca="1">IFERROR(__xludf.DUMMYFUNCTION("IMPORTRANGE(""https://docs.google.com/spreadsheets/d/1SX6NBoVAgQJ6U1MVXOaj8PK2l7WJ3RER9xtqwdhxkhw/edit?usp=sharing"",""ชัยนาท!J263"")"),10)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IFERROR(__xludf.DUMMYFUNCTION("IMPORTRANGE(""https://docs.google.com/spreadsheets/d/1SX6NBoVAgQJ6U1MVXOaj8PK2l7WJ3RER9xtqwdhxkhw/edit?usp=sharing"",""ชัยนาท!I164"")"),0)</f>
        <v>0</v>
      </c>
      <c r="J369" s="204">
        <f ca="1">IFERROR(__xludf.DUMMYFUNCTION("IMPORTRANGE(""https://docs.google.com/spreadsheets/d/1SX6NBoVAgQJ6U1MVXOaj8PK2l7WJ3RER9xtqwdhxkhw/edit?usp=sharing"",""ชัยนาท!J164"")"),0)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IFERROR(__xludf.DUMMYFUNCTION("IMPORTRANGE(""https://docs.google.com/spreadsheets/d/1SX6NBoVAgQJ6U1MVXOaj8PK2l7WJ3RER9xtqwdhxkhw/edit?usp=sharing"",""ชัยนาท!I265"")"),10)</f>
        <v>10</v>
      </c>
      <c r="J370" s="204">
        <f ca="1">IFERROR(__xludf.DUMMYFUNCTION("IMPORTRANGE(""https://docs.google.com/spreadsheets/d/1SX6NBoVAgQJ6U1MVXOaj8PK2l7WJ3RER9xtqwdhxkhw/edit?usp=sharing"",""ชัยนาท!J265"")"),10)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IFERROR(__xludf.DUMMYFUNCTION("IMPORTRANGE(""https://docs.google.com/spreadsheets/d/1SX6NBoVAgQJ6U1MVXOaj8PK2l7WJ3RER9xtqwdhxkhw/edit?usp=sharing"",""ชัยนาท!I164"")"),0)</f>
        <v>0</v>
      </c>
      <c r="J371" s="189">
        <f ca="1">IFERROR(__xludf.DUMMYFUNCTION("IMPORTRANGE(""https://docs.google.com/spreadsheets/d/1SX6NBoVAgQJ6U1MVXOaj8PK2l7WJ3RER9xtqwdhxkhw/edit?usp=sharing"",""ชัยนาท!J164"")"),0)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IFERROR(__xludf.DUMMYFUNCTION("IMPORTRANGE(""https://docs.google.com/spreadsheets/d/1SX6NBoVAgQJ6U1MVXOaj8PK2l7WJ3RER9xtqwdhxkhw/edit?usp=sharing"",""ชัยนาท!I267"")"),10)</f>
        <v>10</v>
      </c>
      <c r="J372" s="189">
        <f ca="1">IFERROR(__xludf.DUMMYFUNCTION("IMPORTRANGE(""https://docs.google.com/spreadsheets/d/1SX6NBoVAgQJ6U1MVXOaj8PK2l7WJ3RER9xtqwdhxkhw/edit?usp=sharing"",""ชัยนาท!J267"")"),10)</f>
        <v>10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IFERROR(__xludf.DUMMYFUNCTION("IMPORTRANGE(""https://docs.google.com/spreadsheets/d/1SX6NBoVAgQJ6U1MVXOaj8PK2l7WJ3RER9xtqwdhxkhw/edit?usp=sharing"",""ชัยนาท!I164"")"),0)</f>
        <v>0</v>
      </c>
      <c r="J373" s="204">
        <f ca="1">IFERROR(__xludf.DUMMYFUNCTION("IMPORTRANGE(""https://docs.google.com/spreadsheets/d/1SX6NBoVAgQJ6U1MVXOaj8PK2l7WJ3RER9xtqwdhxkhw/edit?usp=sharing"",""ชัยนาท!J164"")"),0)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IFERROR(__xludf.DUMMYFUNCTION("IMPORTRANGE(""https://docs.google.com/spreadsheets/d/1SX6NBoVAgQJ6U1MVXOaj8PK2l7WJ3RER9xtqwdhxkhw/edit?usp=sharing"",""ชัยนาท!I164"")"),0)</f>
        <v>0</v>
      </c>
      <c r="J374" s="188">
        <f ca="1">IFERROR(__xludf.DUMMYFUNCTION("IMPORTRANGE(""https://docs.google.com/spreadsheets/d/1SX6NBoVAgQJ6U1MVXOaj8PK2l7WJ3RER9xtqwdhxkhw/edit?usp=sharing"",""ชัยนาท!J164"")"),0)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IFERROR(__xludf.DUMMYFUNCTION("IMPORTRANGE(""https://docs.google.com/spreadsheets/d/1SX6NBoVAgQJ6U1MVXOaj8PK2l7WJ3RER9xtqwdhxkhw/edit?usp=sharing"",""ชัยนาท!I270"")"),10)</f>
        <v>10</v>
      </c>
      <c r="J375" s="188">
        <f ca="1">IFERROR(__xludf.DUMMYFUNCTION("IMPORTRANGE(""https://docs.google.com/spreadsheets/d/1SX6NBoVAgQJ6U1MVXOaj8PK2l7WJ3RER9xtqwdhxkhw/edit?usp=sharing"",""ชัยนาท!J270"")"),0)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IFERROR(__xludf.DUMMYFUNCTION("IMPORTRANGE(""https://docs.google.com/spreadsheets/d/1SX6NBoVAgQJ6U1MVXOaj8PK2l7WJ3RER9xtqwdhxkhw/edit?usp=sharing"",""ชัยนาท!I271"")"),10)</f>
        <v>10</v>
      </c>
      <c r="J376" s="189">
        <f ca="1">IFERROR(__xludf.DUMMYFUNCTION("IMPORTRANGE(""https://docs.google.com/spreadsheets/d/1SX6NBoVAgQJ6U1MVXOaj8PK2l7WJ3RER9xtqwdhxkhw/edit?usp=sharing"",""ชัยนาท!J271"")"),0)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IFERROR(__xludf.DUMMYFUNCTION("IMPORTRANGE(""https://docs.google.com/spreadsheets/d/1SX6NBoVAgQJ6U1MVXOaj8PK2l7WJ3RER9xtqwdhxkhw/edit?usp=sharing"",""ชัยนาท!I272"")"),0)</f>
        <v>0</v>
      </c>
      <c r="J377" s="204">
        <f ca="1">IFERROR(__xludf.DUMMYFUNCTION("IMPORTRANGE(""https://docs.google.com/spreadsheets/d/1SX6NBoVAgQJ6U1MVXOaj8PK2l7WJ3RER9xtqwdhxkhw/edit?usp=sharing"",""ชัยนาท!J272"")"),0)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IFERROR(__xludf.DUMMYFUNCTION("IMPORTRANGE(""https://docs.google.com/spreadsheets/d/1SX6NBoVAgQJ6U1MVXOaj8PK2l7WJ3RER9xtqwdhxkhw/edit?usp=sharing"",""ชัยนาท!J273"")"),0)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IFERROR(__xludf.DUMMYFUNCTION("IMPORTRANGE(""https://docs.google.com/spreadsheets/d/1SX6NBoVAgQJ6U1MVXOaj8PK2l7WJ3RER9xtqwdhxkhw/edit?usp=sharing"",""ชัยนาท!J274"")"),0)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IFERROR(__xludf.DUMMYFUNCTION("IMPORTRANGE(""https://docs.google.com/spreadsheets/d/1SX6NBoVAgQJ6U1MVXOaj8PK2l7WJ3RER9xtqwdhxkhw/edit?usp=sharing"",""ชัยนาท!M275"")"),73330)</f>
        <v>73330</v>
      </c>
      <c r="O380" s="373">
        <f ca="1">+IF(L380&gt;0,N380*100/L380,0)</f>
        <v>35.329543264598186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IFERROR(__xludf.DUMMYFUNCTION("IMPORTRANGE(""https://docs.google.com/spreadsheets/d/1SX6NBoVAgQJ6U1MVXOaj8PK2l7WJ3RER9xtqwdhxkhw/edit?usp=sharing"",""ชัยนาท!L277"")"),0)</f>
        <v>0</v>
      </c>
      <c r="M382" s="164"/>
      <c r="N382" s="164">
        <f ca="1">IFERROR(__xludf.DUMMYFUNCTION("IMPORTRANGE(""https://docs.google.com/spreadsheets/d/1SX6NBoVAgQJ6U1MVXOaj8PK2l7WJ3RER9xtqwdhxkhw/edit?usp=sharing"",""ชัยนาท!M277"")"),0)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IFERROR(__xludf.DUMMYFUNCTION("IMPORTRANGE(""https://docs.google.com/spreadsheets/d/1SX6NBoVAgQJ6U1MVXOaj8PK2l7WJ3RER9xtqwdhxkhw/edit?usp=sharing"",""ชัยนาท!L278"")"),207560)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IFERROR(__xludf.DUMMYFUNCTION("IMPORTRANGE(""https://docs.google.com/spreadsheets/d/1SX6NBoVAgQJ6U1MVXOaj8PK2l7WJ3RER9xtqwdhxkhw/edit?usp=sharing"",""ชัยนาท!M278"")"),73330)</f>
        <v>73330</v>
      </c>
      <c r="O383" s="165">
        <f t="shared" ca="1" si="109"/>
        <v>35.329543264598186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IFERROR(__xludf.DUMMYFUNCTION("IMPORTRANGE(""https://docs.google.com/spreadsheets/d/1SX6NBoVAgQJ6U1MVXOaj8PK2l7WJ3RER9xtqwdhxkhw/edit?usp=sharing"",""ชัยนาท!L279"")"),0)</f>
        <v>0</v>
      </c>
      <c r="M384" s="169"/>
      <c r="N384" s="169">
        <f ca="1">IFERROR(__xludf.DUMMYFUNCTION("IMPORTRANGE(""https://docs.google.com/spreadsheets/d/1SX6NBoVAgQJ6U1MVXOaj8PK2l7WJ3RER9xtqwdhxkhw/edit?usp=sharing"",""ชัยนาท!M279"")"),0)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IFERROR(__xludf.DUMMYFUNCTION("IMPORTRANGE(""https://docs.google.com/spreadsheets/d/1SX6NBoVAgQJ6U1MVXOaj8PK2l7WJ3RER9xtqwdhxkhw/edit?usp=sharing"",""ชัยนาท!L280"")"),207560)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IFERROR(__xludf.DUMMYFUNCTION("IMPORTRANGE(""https://docs.google.com/spreadsheets/d/1SX6NBoVAgQJ6U1MVXOaj8PK2l7WJ3RER9xtqwdhxkhw/edit?usp=sharing"",""ชัยนาท!M280"")"),73330)</f>
        <v>73330</v>
      </c>
      <c r="O385" s="169">
        <f t="shared" ca="1" si="109"/>
        <v>35.329543264598186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IFERROR(__xludf.DUMMYFUNCTION("IMPORTRANGE(""https://docs.google.com/spreadsheets/d/1SX6NBoVAgQJ6U1MVXOaj8PK2l7WJ3RER9xtqwdhxkhw/edit?usp=sharing"",""ชัยนาท!M281"")"),54085)</f>
        <v>54085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IFERROR(__xludf.DUMMYFUNCTION("IMPORTRANGE(""https://docs.google.com/spreadsheets/d/1SX6NBoVAgQJ6U1MVXOaj8PK2l7WJ3RER9xtqwdhxkhw/edit?usp=sharing"",""ชัยนาท!M282"")"),0)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IFERROR(__xludf.DUMMYFUNCTION("IMPORTRANGE(""https://docs.google.com/spreadsheets/d/1SX6NBoVAgQJ6U1MVXOaj8PK2l7WJ3RER9xtqwdhxkhw/edit?usp=sharing"",""ชัยนาท!M284"")"),19245)</f>
        <v>19245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IFERROR(__xludf.DUMMYFUNCTION("IMPORTRANGE(""https://docs.google.com/spreadsheets/d/1SX6NBoVAgQJ6U1MVXOaj8PK2l7WJ3RER9xtqwdhxkhw/edit?usp=sharing"",""ชัยนาท!J286"")"),0)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IFERROR(__xludf.DUMMYFUNCTION("IMPORTRANGE(""https://docs.google.com/spreadsheets/d/1SX6NBoVAgQJ6U1MVXOaj8PK2l7WJ3RER9xtqwdhxkhw/edit?usp=sharing"",""ชัยนาท!J287"")"),1)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IFERROR(__xludf.DUMMYFUNCTION("IMPORTRANGE(""https://docs.google.com/spreadsheets/d/1SX6NBoVAgQJ6U1MVXOaj8PK2l7WJ3RER9xtqwdhxkhw/edit?usp=sharing"",""ชัยนาท!J288"")"),1)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IFERROR(__xludf.DUMMYFUNCTION("IMPORTRANGE(""https://docs.google.com/spreadsheets/d/1SX6NBoVAgQJ6U1MVXOaj8PK2l7WJ3RER9xtqwdhxkhw/edit?usp=sharing"",""ชัยนาท!J289"")"),1)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IFERROR(__xludf.DUMMYFUNCTION("IMPORTRANGE(""https://docs.google.com/spreadsheets/d/1SX6NBoVAgQJ6U1MVXOaj8PK2l7WJ3RER9xtqwdhxkhw/edit?usp=sharing"",""ชัยนาท!I291"")"),20)</f>
        <v>20</v>
      </c>
      <c r="J396" s="198">
        <f ca="1">IFERROR(__xludf.DUMMYFUNCTION("IMPORTRANGE(""https://docs.google.com/spreadsheets/d/1SX6NBoVAgQJ6U1MVXOaj8PK2l7WJ3RER9xtqwdhxkhw/edit?usp=sharing"",""ชัยนาท!J291"")"),20)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IFERROR(__xludf.DUMMYFUNCTION("IMPORTRANGE(""https://docs.google.com/spreadsheets/d/1SX6NBoVAgQJ6U1MVXOaj8PK2l7WJ3RER9xtqwdhxkhw/edit?usp=sharing"",""ชัยนาท!I292"")"),200)</f>
        <v>200</v>
      </c>
      <c r="J397" s="198">
        <f ca="1">IFERROR(__xludf.DUMMYFUNCTION("IMPORTRANGE(""https://docs.google.com/spreadsheets/d/1SX6NBoVAgQJ6U1MVXOaj8PK2l7WJ3RER9xtqwdhxkhw/edit?usp=sharing"",""ชัยนาท!J292"")"),0)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IFERROR(__xludf.DUMMYFUNCTION("IMPORTRANGE(""https://docs.google.com/spreadsheets/d/1SX6NBoVAgQJ6U1MVXOaj8PK2l7WJ3RER9xtqwdhxkhw/edit?usp=sharing"",""ชัยนาท!I293"")"),20)</f>
        <v>20</v>
      </c>
      <c r="J398" s="198">
        <f ca="1">IFERROR(__xludf.DUMMYFUNCTION("IMPORTRANGE(""https://docs.google.com/spreadsheets/d/1SX6NBoVAgQJ6U1MVXOaj8PK2l7WJ3RER9xtqwdhxkhw/edit?usp=sharing"",""ชัยนาท!J293"")"),0)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IFERROR(__xludf.DUMMYFUNCTION("IMPORTRANGE(""https://docs.google.com/spreadsheets/d/1SX6NBoVAgQJ6U1MVXOaj8PK2l7WJ3RER9xtqwdhxkhw/edit?usp=sharing"",""ชัยนาท!J294"")"),0)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IFERROR(__xludf.DUMMYFUNCTION("IMPORTRANGE(""https://docs.google.com/spreadsheets/d/1SX6NBoVAgQJ6U1MVXOaj8PK2l7WJ3RER9xtqwdhxkhw/edit?usp=sharing"",""ชัยนาท!J295"")"),0)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IFERROR(__xludf.DUMMYFUNCTION("IMPORTRANGE(""https://docs.google.com/spreadsheets/d/1SX6NBoVAgQJ6U1MVXOaj8PK2l7WJ3RER9xtqwdhxkhw/edit?usp=sharing"",""ชัยนาท!M296"")"),212915)</f>
        <v>212915</v>
      </c>
      <c r="O401" s="373">
        <f ca="1">+IF(L401&gt;0,N401*100/L401,0)</f>
        <v>93.989758530878916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IFERROR(__xludf.DUMMYFUNCTION("IMPORTRANGE(""https://docs.google.com/spreadsheets/d/1SX6NBoVAgQJ6U1MVXOaj8PK2l7WJ3RER9xtqwdhxkhw/edit?usp=sharing"",""ชัยนาท!L298"")"),0)</f>
        <v>0</v>
      </c>
      <c r="M403" s="164"/>
      <c r="N403" s="169">
        <f ca="1">IFERROR(__xludf.DUMMYFUNCTION("IMPORTRANGE(""https://docs.google.com/spreadsheets/d/1SX6NBoVAgQJ6U1MVXOaj8PK2l7WJ3RER9xtqwdhxkhw/edit?usp=sharing"",""ชัยนาท!M298"")"),0)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IFERROR(__xludf.DUMMYFUNCTION("IMPORTRANGE(""https://docs.google.com/spreadsheets/d/1SX6NBoVAgQJ6U1MVXOaj8PK2l7WJ3RER9xtqwdhxkhw/edit?usp=sharing"",""ชัยนาท!L299"")"),226530)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IFERROR(__xludf.DUMMYFUNCTION("IMPORTRANGE(""https://docs.google.com/spreadsheets/d/1SX6NBoVAgQJ6U1MVXOaj8PK2l7WJ3RER9xtqwdhxkhw/edit?usp=sharing"",""ชัยนาท!M299"")"),212915)</f>
        <v>212915</v>
      </c>
      <c r="O404" s="169">
        <f t="shared" ca="1" si="112"/>
        <v>93.989758530878916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IFERROR(__xludf.DUMMYFUNCTION("IMPORTRANGE(""https://docs.google.com/spreadsheets/d/1SX6NBoVAgQJ6U1MVXOaj8PK2l7WJ3RER9xtqwdhxkhw/edit?usp=sharing"",""ชัยนาท!L300"")"),0)</f>
        <v>0</v>
      </c>
      <c r="M405" s="169"/>
      <c r="N405" s="169">
        <f ca="1">IFERROR(__xludf.DUMMYFUNCTION("IMPORTRANGE(""https://docs.google.com/spreadsheets/d/1SX6NBoVAgQJ6U1MVXOaj8PK2l7WJ3RER9xtqwdhxkhw/edit?usp=sharing"",""ชัยนาท!M300"")"),0)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IFERROR(__xludf.DUMMYFUNCTION("IMPORTRANGE(""https://docs.google.com/spreadsheets/d/1SX6NBoVAgQJ6U1MVXOaj8PK2l7WJ3RER9xtqwdhxkhw/edit?usp=sharing"",""ชัยนาท!L301"")"),226530)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IFERROR(__xludf.DUMMYFUNCTION("IMPORTRANGE(""https://docs.google.com/spreadsheets/d/1SX6NBoVAgQJ6U1MVXOaj8PK2l7WJ3RER9xtqwdhxkhw/edit?usp=sharing"",""ชัยนาท!M301"")"),212915)</f>
        <v>212915</v>
      </c>
      <c r="O406" s="169">
        <f t="shared" ca="1" si="112"/>
        <v>93.989758530878916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IFERROR(__xludf.DUMMYFUNCTION("IMPORTRANGE(""https://docs.google.com/spreadsheets/d/1SX6NBoVAgQJ6U1MVXOaj8PK2l7WJ3RER9xtqwdhxkhw/edit?usp=sharing"",""ชัยนาท!M302"")"),129150)</f>
        <v>129150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IFERROR(__xludf.DUMMYFUNCTION("IMPORTRANGE(""https://docs.google.com/spreadsheets/d/1SX6NBoVAgQJ6U1MVXOaj8PK2l7WJ3RER9xtqwdhxkhw/edit?usp=sharing"",""ชัยนาท!M303"")"),62500)</f>
        <v>62500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IFERROR(__xludf.DUMMYFUNCTION("IMPORTRANGE(""https://docs.google.com/spreadsheets/d/1SX6NBoVAgQJ6U1MVXOaj8PK2l7WJ3RER9xtqwdhxkhw/edit?usp=sharing"",""ชัยนาท!M305"")"),21265)</f>
        <v>21265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IFERROR(__xludf.DUMMYFUNCTION("IMPORTRANGE(""https://docs.google.com/spreadsheets/d/1SX6NBoVAgQJ6U1MVXOaj8PK2l7WJ3RER9xtqwdhxkhw/edit?usp=sharing"",""ชัยนาท!J307"")"),0)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IFERROR(__xludf.DUMMYFUNCTION("IMPORTRANGE(""https://docs.google.com/spreadsheets/d/1SX6NBoVAgQJ6U1MVXOaj8PK2l7WJ3RER9xtqwdhxkhw/edit?usp=sharing"",""ชัยนาท!J308"")"),1)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IFERROR(__xludf.DUMMYFUNCTION("IMPORTRANGE(""https://docs.google.com/spreadsheets/d/1SX6NBoVAgQJ6U1MVXOaj8PK2l7WJ3RER9xtqwdhxkhw/edit?usp=sharing"",""ชัยนาท!J309"")"),1)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IFERROR(__xludf.DUMMYFUNCTION("IMPORTRANGE(""https://docs.google.com/spreadsheets/d/1SX6NBoVAgQJ6U1MVXOaj8PK2l7WJ3RER9xtqwdhxkhw/edit?usp=sharing"",""ชัยนาท!J310"")"),1)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IFERROR(__xludf.DUMMYFUNCTION("IMPORTRANGE(""https://docs.google.com/spreadsheets/d/1SX6NBoVAgQJ6U1MVXOaj8PK2l7WJ3RER9xtqwdhxkhw/edit?usp=sharing"",""ชัยนาท!I311"")"),65)</f>
        <v>65</v>
      </c>
      <c r="J416" s="201">
        <f ca="1">IFERROR(__xludf.DUMMYFUNCTION("IMPORTRANGE(""https://docs.google.com/spreadsheets/d/1SX6NBoVAgQJ6U1MVXOaj8PK2l7WJ3RER9xtqwdhxkhw/edit?usp=sharing"",""ชัยนาท!J311"")"),65)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IFERROR(__xludf.DUMMYFUNCTION("IMPORTRANGE(""https://docs.google.com/spreadsheets/d/1SX6NBoVAgQJ6U1MVXOaj8PK2l7WJ3RER9xtqwdhxkhw/edit?usp=sharing"",""ชัยนาท!J328"")"),0)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IFERROR(__xludf.DUMMYFUNCTION("IMPORTRANGE(""https://docs.google.com/spreadsheets/d/1SX6NBoVAgQJ6U1MVXOaj8PK2l7WJ3RER9xtqwdhxkhw/edit?usp=sharing"",""ชัยนาท!J329"")"),0)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IFERROR(__xludf.DUMMYFUNCTION("IMPORTRANGE(""https://docs.google.com/spreadsheets/d/1SX6NBoVAgQJ6U1MVXOaj8PK2l7WJ3RER9xtqwdhxkhw/edit?usp=sharing"",""ชัยนาท!M330"")"),65910)</f>
        <v>65910</v>
      </c>
      <c r="O435" s="412">
        <f t="shared" ref="O435:O439" ca="1" si="114">+IF(L435&gt;0,N435*100/L435,0)</f>
        <v>74.897727272727266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IFERROR(__xludf.DUMMYFUNCTION("IMPORTRANGE(""https://docs.google.com/spreadsheets/d/1SX6NBoVAgQJ6U1MVXOaj8PK2l7WJ3RER9xtqwdhxkhw/edit?usp=sharing"",""ชัยนาท!L331"")"),0)</f>
        <v>0</v>
      </c>
      <c r="M436" s="164"/>
      <c r="N436" s="169">
        <f ca="1">IFERROR(__xludf.DUMMYFUNCTION("IMPORTRANGE(""https://docs.google.com/spreadsheets/d/1SX6NBoVAgQJ6U1MVXOaj8PK2l7WJ3RER9xtqwdhxkhw/edit?usp=sharing"",""ชัยนาท!M331"")"),0)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IFERROR(__xludf.DUMMYFUNCTION("IMPORTRANGE(""https://docs.google.com/spreadsheets/d/1SX6NBoVAgQJ6U1MVXOaj8PK2l7WJ3RER9xtqwdhxkhw/edit?usp=sharing"",""ชัยนาท!L332"")"),88000)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IFERROR(__xludf.DUMMYFUNCTION("IMPORTRANGE(""https://docs.google.com/spreadsheets/d/1SX6NBoVAgQJ6U1MVXOaj8PK2l7WJ3RER9xtqwdhxkhw/edit?usp=sharing"",""ชัยนาท!M332"")"),65910)</f>
        <v>65910</v>
      </c>
      <c r="O437" s="169">
        <f t="shared" ca="1" si="114"/>
        <v>74.897727272727266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IFERROR(__xludf.DUMMYFUNCTION("IMPORTRANGE(""https://docs.google.com/spreadsheets/d/1SX6NBoVAgQJ6U1MVXOaj8PK2l7WJ3RER9xtqwdhxkhw/edit?usp=sharing"",""ชัยนาท!L333"")"),0)</f>
        <v>0</v>
      </c>
      <c r="M438" s="169"/>
      <c r="N438" s="169">
        <f ca="1">IFERROR(__xludf.DUMMYFUNCTION("IMPORTRANGE(""https://docs.google.com/spreadsheets/d/1SX6NBoVAgQJ6U1MVXOaj8PK2l7WJ3RER9xtqwdhxkhw/edit?usp=sharing"",""ชัยนาท!M333"")"),0)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IFERROR(__xludf.DUMMYFUNCTION("IMPORTRANGE(""https://docs.google.com/spreadsheets/d/1SX6NBoVAgQJ6U1MVXOaj8PK2l7WJ3RER9xtqwdhxkhw/edit?usp=sharing"",""ชัยนาท!L334"")"),88000)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IFERROR(__xludf.DUMMYFUNCTION("IMPORTRANGE(""https://docs.google.com/spreadsheets/d/1SX6NBoVAgQJ6U1MVXOaj8PK2l7WJ3RER9xtqwdhxkhw/edit?usp=sharing"",""ชัยนาท!M334"")"),65910)</f>
        <v>65910</v>
      </c>
      <c r="O439" s="169">
        <f t="shared" ca="1" si="114"/>
        <v>74.897727272727266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IFERROR(__xludf.DUMMYFUNCTION("IMPORTRANGE(""https://docs.google.com/spreadsheets/d/1SX6NBoVAgQJ6U1MVXOaj8PK2l7WJ3RER9xtqwdhxkhw/edit?usp=sharing"",""ชัยนาท!M338"")"),33710)</f>
        <v>33710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IFERROR(__xludf.DUMMYFUNCTION("IMPORTRANGE(""https://docs.google.com/spreadsheets/d/1SX6NBoVAgQJ6U1MVXOaj8PK2l7WJ3RER9xtqwdhxkhw/edit?usp=sharing"",""ชัยนาท!J340"")"),0)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IFERROR(__xludf.DUMMYFUNCTION("IMPORTRANGE(""https://docs.google.com/spreadsheets/d/1SX6NBoVAgQJ6U1MVXOaj8PK2l7WJ3RER9xtqwdhxkhw/edit?usp=sharing"",""ชัยนาท!J342"")"),1)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IFERROR(__xludf.DUMMYFUNCTION("IMPORTRANGE(""https://docs.google.com/spreadsheets/d/1SX6NBoVAgQJ6U1MVXOaj8PK2l7WJ3RER9xtqwdhxkhw/edit?usp=sharing"",""ชัยนาท!J343"")"),1)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1">
        <f ca="1">IFERROR(__xludf.DUMMYFUNCTION("IMPORTRANGE(""https://docs.google.com/spreadsheets/d/1SX6NBoVAgQJ6U1MVXOaj8PK2l7WJ3RER9xtqwdhxkhw/edit?usp=sharing"",""ชัยนาท!J344"")"),15)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IFERROR(__xludf.DUMMYFUNCTION("IMPORTRANGE(""https://docs.google.com/spreadsheets/d/1SX6NBoVAgQJ6U1MVXOaj8PK2l7WJ3RER9xtqwdhxkhw/edit?usp=sharing"",""ชัยนาท!I345"")"),15)</f>
        <v>15</v>
      </c>
      <c r="J450" s="189">
        <f ca="1">IFERROR(__xludf.DUMMYFUNCTION("IMPORTRANGE(""https://docs.google.com/spreadsheets/d/1SX6NBoVAgQJ6U1MVXOaj8PK2l7WJ3RER9xtqwdhxkhw/edit?usp=sharing"",""ชัยนาท!J345"")"),15)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IFERROR(__xludf.DUMMYFUNCTION("IMPORTRANGE(""https://docs.google.com/spreadsheets/d/1SX6NBoVAgQJ6U1MVXOaj8PK2l7WJ3RER9xtqwdhxkhw/edit?usp=sharing"",""ชัยนาท!I346"")"),0)</f>
        <v>0</v>
      </c>
      <c r="J451" s="188">
        <f ca="1">IFERROR(__xludf.DUMMYFUNCTION("IMPORTRANGE(""https://docs.google.com/spreadsheets/d/1SX6NBoVAgQJ6U1MVXOaj8PK2l7WJ3RER9xtqwdhxkhw/edit?usp=sharing"",""ชัยนาท!J346"")"),0)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IFERROR(__xludf.DUMMYFUNCTION("IMPORTRANGE(""https://docs.google.com/spreadsheets/d/1SX6NBoVAgQJ6U1MVXOaj8PK2l7WJ3RER9xtqwdhxkhw/edit?usp=sharing"",""ชัยนาท!I347"")"),0)</f>
        <v>0</v>
      </c>
      <c r="J452" s="188">
        <f ca="1">IFERROR(__xludf.DUMMYFUNCTION("IMPORTRANGE(""https://docs.google.com/spreadsheets/d/1SX6NBoVAgQJ6U1MVXOaj8PK2l7WJ3RER9xtqwdhxkhw/edit?usp=sharing"",""ชัยนาท!J347"")"),0)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IFERROR(__xludf.DUMMYFUNCTION("IMPORTRANGE(""https://docs.google.com/spreadsheets/d/1SX6NBoVAgQJ6U1MVXOaj8PK2l7WJ3RER9xtqwdhxkhw/edit?usp=sharing"",""ชัยนาท!J348"")"),0)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IFERROR(__xludf.DUMMYFUNCTION("IMPORTRANGE(""https://docs.google.com/spreadsheets/d/1SX6NBoVAgQJ6U1MVXOaj8PK2l7WJ3RER9xtqwdhxkhw/edit?usp=sharing"",""ชัยนาท!J349"")"),0)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IFERROR(__xludf.DUMMYFUNCTION("IMPORTRANGE(""https://docs.google.com/spreadsheets/d/1SX6NBoVAgQJ6U1MVXOaj8PK2l7WJ3RER9xtqwdhxkhw/edit?usp=sharing"",""ชัยนาท!M350"")"),35460)</f>
        <v>35460</v>
      </c>
      <c r="O455" s="373">
        <f t="shared" ref="O455:O459" ca="1" si="116">+IF(L455&gt;0,N455*100/L455,0)</f>
        <v>36.119542852486404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IFERROR(__xludf.DUMMYFUNCTION("IMPORTRANGE(""https://docs.google.com/spreadsheets/d/1SX6NBoVAgQJ6U1MVXOaj8PK2l7WJ3RER9xtqwdhxkhw/edit?usp=sharing"",""ชัยนาท!L351"")"),0)</f>
        <v>0</v>
      </c>
      <c r="M456" s="164"/>
      <c r="N456" s="169">
        <f ca="1">IFERROR(__xludf.DUMMYFUNCTION("IMPORTRANGE(""https://docs.google.com/spreadsheets/d/1SX6NBoVAgQJ6U1MVXOaj8PK2l7WJ3RER9xtqwdhxkhw/edit?usp=sharing"",""ชัยนาท!M351"")"),0)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IFERROR(__xludf.DUMMYFUNCTION("IMPORTRANGE(""https://docs.google.com/spreadsheets/d/1SX6NBoVAgQJ6U1MVXOaj8PK2l7WJ3RER9xtqwdhxkhw/edit?usp=sharing"",""ชัยนาท!L352"")"),98174)</f>
        <v>98174</v>
      </c>
      <c r="M457" s="165"/>
      <c r="N457" s="169">
        <f ca="1">IFERROR(__xludf.DUMMYFUNCTION("IMPORTRANGE(""https://docs.google.com/spreadsheets/d/1SX6NBoVAgQJ6U1MVXOaj8PK2l7WJ3RER9xtqwdhxkhw/edit?usp=sharing"",""ชัยนาท!M352"")"),35460)</f>
        <v>35460</v>
      </c>
      <c r="O457" s="169">
        <f t="shared" ca="1" si="116"/>
        <v>36.119542852486404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IFERROR(__xludf.DUMMYFUNCTION("IMPORTRANGE(""https://docs.google.com/spreadsheets/d/1SX6NBoVAgQJ6U1MVXOaj8PK2l7WJ3RER9xtqwdhxkhw/edit?usp=sharing"",""ชัยนาท!L353"")"),0)</f>
        <v>0</v>
      </c>
      <c r="M458" s="169"/>
      <c r="N458" s="169">
        <f ca="1">IFERROR(__xludf.DUMMYFUNCTION("IMPORTRANGE(""https://docs.google.com/spreadsheets/d/1SX6NBoVAgQJ6U1MVXOaj8PK2l7WJ3RER9xtqwdhxkhw/edit?usp=sharing"",""ชัยนาท!M353"")"),0)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IFERROR(__xludf.DUMMYFUNCTION("IMPORTRANGE(""https://docs.google.com/spreadsheets/d/1SX6NBoVAgQJ6U1MVXOaj8PK2l7WJ3RER9xtqwdhxkhw/edit?usp=sharing"",""ชัยนาท!L354"")"),98174)</f>
        <v>98174</v>
      </c>
      <c r="M459" s="169"/>
      <c r="N459" s="169">
        <f ca="1">IFERROR(__xludf.DUMMYFUNCTION("IMPORTRANGE(""https://docs.google.com/spreadsheets/d/1SX6NBoVAgQJ6U1MVXOaj8PK2l7WJ3RER9xtqwdhxkhw/edit?usp=sharing"",""ชัยนาท!M354"")"),35460)</f>
        <v>35460</v>
      </c>
      <c r="O459" s="169">
        <f t="shared" ca="1" si="116"/>
        <v>36.119542852486404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IFERROR(__xludf.DUMMYFUNCTION("IMPORTRANGE(""https://docs.google.com/spreadsheets/d/1SX6NBoVAgQJ6U1MVXOaj8PK2l7WJ3RER9xtqwdhxkhw/edit?usp=sharing"",""ชัยนาท!M355"")"),0)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IFERROR(__xludf.DUMMYFUNCTION("IMPORTRANGE(""https://docs.google.com/spreadsheets/d/1SX6NBoVAgQJ6U1MVXOaj8PK2l7WJ3RER9xtqwdhxkhw/edit?usp=sharing"",""ชัยนาท!M356"")"),0)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IFERROR(__xludf.DUMMYFUNCTION("IMPORTRANGE(""https://docs.google.com/spreadsheets/d/1SX6NBoVAgQJ6U1MVXOaj8PK2l7WJ3RER9xtqwdhxkhw/edit?usp=sharing"",""ชัยนาท!M358"")"),35460)</f>
        <v>35460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IFERROR(__xludf.DUMMYFUNCTION("IMPORTRANGE(""https://docs.google.com/spreadsheets/d/1SX6NBoVAgQJ6U1MVXOaj8PK2l7WJ3RER9xtqwdhxkhw/edit?usp=sharing"",""ชัยนาท!I359"")"),5989)</f>
        <v>5989</v>
      </c>
      <c r="J464" s="268">
        <f ca="1">IFERROR(__xludf.DUMMYFUNCTION("IMPORTRANGE(""https://docs.google.com/spreadsheets/d/1SX6NBoVAgQJ6U1MVXOaj8PK2l7WJ3RER9xtqwdhxkhw/edit?usp=sharing"",""ชัยนาท!J359"")"),5989)</f>
        <v>5989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IFERROR(__xludf.DUMMYFUNCTION("IMPORTRANGE(""https://docs.google.com/spreadsheets/d/1SX6NBoVAgQJ6U1MVXOaj8PK2l7WJ3RER9xtqwdhxkhw/edit?usp=sharing"",""ชัยนาท!I362"")"),0)</f>
        <v>0</v>
      </c>
      <c r="J467" s="189">
        <f ca="1">IFERROR(__xludf.DUMMYFUNCTION("IMPORTRANGE(""https://docs.google.com/spreadsheets/d/1SX6NBoVAgQJ6U1MVXOaj8PK2l7WJ3RER9xtqwdhxkhw/edit?usp=sharing"",""ชัยนาท!J362"")"),5731)</f>
        <v>5731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IFERROR(__xludf.DUMMYFUNCTION("IMPORTRANGE(""https://docs.google.com/spreadsheets/d/1SX6NBoVAgQJ6U1MVXOaj8PK2l7WJ3RER9xtqwdhxkhw/edit?usp=sharing"",""ชัยนาท!I363"")"),0)</f>
        <v>0</v>
      </c>
      <c r="J468" s="189">
        <f ca="1">IFERROR(__xludf.DUMMYFUNCTION("IMPORTRANGE(""https://docs.google.com/spreadsheets/d/1SX6NBoVAgQJ6U1MVXOaj8PK2l7WJ3RER9xtqwdhxkhw/edit?usp=sharing"",""ชัยนาท!J363"")"),300)</f>
        <v>300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IFERROR(__xludf.DUMMYFUNCTION("IMPORTRANGE(""https://docs.google.com/spreadsheets/d/1SX6NBoVAgQJ6U1MVXOaj8PK2l7WJ3RER9xtqwdhxkhw/edit?usp=sharing"",""ชัยนาท!I364"")"),0)</f>
        <v>0</v>
      </c>
      <c r="J469" s="189">
        <f ca="1">IFERROR(__xludf.DUMMYFUNCTION("IMPORTRANGE(""https://docs.google.com/spreadsheets/d/1SX6NBoVAgQJ6U1MVXOaj8PK2l7WJ3RER9xtqwdhxkhw/edit?usp=sharing"",""ชัยนาท!J364"")"),180)</f>
        <v>180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IFERROR(__xludf.DUMMYFUNCTION("IMPORTRANGE(""https://docs.google.com/spreadsheets/d/1SX6NBoVAgQJ6U1MVXOaj8PK2l7WJ3RER9xtqwdhxkhw/edit?usp=sharing"",""ชัยนาท!I365"")"),0)</f>
        <v>0</v>
      </c>
      <c r="J470" s="189">
        <f ca="1">IFERROR(__xludf.DUMMYFUNCTION("IMPORTRANGE(""https://docs.google.com/spreadsheets/d/1SX6NBoVAgQJ6U1MVXOaj8PK2l7WJ3RER9xtqwdhxkhw/edit?usp=sharing"",""ชัยนาท!J365"")"),17)</f>
        <v>17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IFERROR(__xludf.DUMMYFUNCTION("IMPORTRANGE(""https://docs.google.com/spreadsheets/d/1SX6NBoVAgQJ6U1MVXOaj8PK2l7WJ3RER9xtqwdhxkhw/edit?usp=sharing"",""ชัยนาท!I366"")"),0)</f>
        <v>0</v>
      </c>
      <c r="J471" s="189">
        <f ca="1">IFERROR(__xludf.DUMMYFUNCTION("IMPORTRANGE(""https://docs.google.com/spreadsheets/d/1SX6NBoVAgQJ6U1MVXOaj8PK2l7WJ3RER9xtqwdhxkhw/edit?usp=sharing"",""ชัยนาท!J366"")"),78)</f>
        <v>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IFERROR(__xludf.DUMMYFUNCTION("IMPORTRANGE(""https://docs.google.com/spreadsheets/d/1SX6NBoVAgQJ6U1MVXOaj8PK2l7WJ3RER9xtqwdhxkhw/edit?usp=sharing"",""ชัยนาท!I367"")"),0)</f>
        <v>0</v>
      </c>
      <c r="J472" s="189">
        <f ca="1">IFERROR(__xludf.DUMMYFUNCTION("IMPORTRANGE(""https://docs.google.com/spreadsheets/d/1SX6NBoVAgQJ6U1MVXOaj8PK2l7WJ3RER9xtqwdhxkhw/edit?usp=sharing"",""ชัยนาท!J367"")"),4)</f>
        <v>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IFERROR(__xludf.DUMMYFUNCTION("IMPORTRANGE(""https://docs.google.com/spreadsheets/d/1SX6NBoVAgQJ6U1MVXOaj8PK2l7WJ3RER9xtqwdhxkhw/edit?usp=sharing"",""ชัยนาท!I370"")"),0)</f>
        <v>0</v>
      </c>
      <c r="J475" s="189">
        <f ca="1">IFERROR(__xludf.DUMMYFUNCTION("IMPORTRANGE(""https://docs.google.com/spreadsheets/d/1SX6NBoVAgQJ6U1MVXOaj8PK2l7WJ3RER9xtqwdhxkhw/edit?usp=sharing"",""ชัยนาท!J370"")"),5731)</f>
        <v>5731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IFERROR(__xludf.DUMMYFUNCTION("IMPORTRANGE(""https://docs.google.com/spreadsheets/d/1SX6NBoVAgQJ6U1MVXOaj8PK2l7WJ3RER9xtqwdhxkhw/edit?usp=sharing"",""ชัยนาท!I371"")"),0)</f>
        <v>0</v>
      </c>
      <c r="J476" s="189">
        <f ca="1">IFERROR(__xludf.DUMMYFUNCTION("IMPORTRANGE(""https://docs.google.com/spreadsheets/d/1SX6NBoVAgQJ6U1MVXOaj8PK2l7WJ3RER9xtqwdhxkhw/edit?usp=sharing"",""ชัยนาท!J371"")"),300)</f>
        <v>300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IFERROR(__xludf.DUMMYFUNCTION("IMPORTRANGE(""https://docs.google.com/spreadsheets/d/1SX6NBoVAgQJ6U1MVXOaj8PK2l7WJ3RER9xtqwdhxkhw/edit?usp=sharing"",""ชัยนาท!I372"")"),0)</f>
        <v>0</v>
      </c>
      <c r="J477" s="189">
        <f ca="1">IFERROR(__xludf.DUMMYFUNCTION("IMPORTRANGE(""https://docs.google.com/spreadsheets/d/1SX6NBoVAgQJ6U1MVXOaj8PK2l7WJ3RER9xtqwdhxkhw/edit?usp=sharing"",""ชัยนาท!J372"")"),180)</f>
        <v>180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IFERROR(__xludf.DUMMYFUNCTION("IMPORTRANGE(""https://docs.google.com/spreadsheets/d/1SX6NBoVAgQJ6U1MVXOaj8PK2l7WJ3RER9xtqwdhxkhw/edit?usp=sharing"",""ชัยนาท!I373"")"),0)</f>
        <v>0</v>
      </c>
      <c r="J478" s="189">
        <f ca="1">IFERROR(__xludf.DUMMYFUNCTION("IMPORTRANGE(""https://docs.google.com/spreadsheets/d/1SX6NBoVAgQJ6U1MVXOaj8PK2l7WJ3RER9xtqwdhxkhw/edit?usp=sharing"",""ชัยนาท!J373"")"),17)</f>
        <v>17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IFERROR(__xludf.DUMMYFUNCTION("IMPORTRANGE(""https://docs.google.com/spreadsheets/d/1SX6NBoVAgQJ6U1MVXOaj8PK2l7WJ3RER9xtqwdhxkhw/edit?usp=sharing"",""ชัยนาท!I374"")"),0)</f>
        <v>0</v>
      </c>
      <c r="J479" s="189">
        <f ca="1">IFERROR(__xludf.DUMMYFUNCTION("IMPORTRANGE(""https://docs.google.com/spreadsheets/d/1SX6NBoVAgQJ6U1MVXOaj8PK2l7WJ3RER9xtqwdhxkhw/edit?usp=sharing"",""ชัยนาท!J374"")"),78)</f>
        <v>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IFERROR(__xludf.DUMMYFUNCTION("IMPORTRANGE(""https://docs.google.com/spreadsheets/d/1SX6NBoVAgQJ6U1MVXOaj8PK2l7WJ3RER9xtqwdhxkhw/edit?usp=sharing"",""ชัยนาท!I375"")"),0)</f>
        <v>0</v>
      </c>
      <c r="J480" s="189">
        <f ca="1">IFERROR(__xludf.DUMMYFUNCTION("IMPORTRANGE(""https://docs.google.com/spreadsheets/d/1SX6NBoVAgQJ6U1MVXOaj8PK2l7WJ3RER9xtqwdhxkhw/edit?usp=sharing"",""ชัยนาท!J375"")"),4)</f>
        <v>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IFERROR(__xludf.DUMMYFUNCTION("IMPORTRANGE(""https://docs.google.com/spreadsheets/d/1SX6NBoVAgQJ6U1MVXOaj8PK2l7WJ3RER9xtqwdhxkhw/edit?usp=sharing"",""ชัยนาท!I378"")"),0)</f>
        <v>0</v>
      </c>
      <c r="J483" s="189">
        <f ca="1">IFERROR(__xludf.DUMMYFUNCTION("IMPORTRANGE(""https://docs.google.com/spreadsheets/d/1SX6NBoVAgQJ6U1MVXOaj8PK2l7WJ3RER9xtqwdhxkhw/edit?usp=sharing"",""ชัยนาท!J378"")"),5731)</f>
        <v>5731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IFERROR(__xludf.DUMMYFUNCTION("IMPORTRANGE(""https://docs.google.com/spreadsheets/d/1SX6NBoVAgQJ6U1MVXOaj8PK2l7WJ3RER9xtqwdhxkhw/edit?usp=sharing"",""ชัยนาท!I379"")"),0)</f>
        <v>0</v>
      </c>
      <c r="J484" s="189">
        <f ca="1">IFERROR(__xludf.DUMMYFUNCTION("IMPORTRANGE(""https://docs.google.com/spreadsheets/d/1SX6NBoVAgQJ6U1MVXOaj8PK2l7WJ3RER9xtqwdhxkhw/edit?usp=sharing"",""ชัยนาท!J379"")"),300)</f>
        <v>300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IFERROR(__xludf.DUMMYFUNCTION("IMPORTRANGE(""https://docs.google.com/spreadsheets/d/1SX6NBoVAgQJ6U1MVXOaj8PK2l7WJ3RER9xtqwdhxkhw/edit?usp=sharing"",""ชัยนาท!I380"")"),0)</f>
        <v>0</v>
      </c>
      <c r="J485" s="189">
        <f ca="1">IFERROR(__xludf.DUMMYFUNCTION("IMPORTRANGE(""https://docs.google.com/spreadsheets/d/1SX6NBoVAgQJ6U1MVXOaj8PK2l7WJ3RER9xtqwdhxkhw/edit?usp=sharing"",""ชัยนาท!J380"")"),180)</f>
        <v>180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IFERROR(__xludf.DUMMYFUNCTION("IMPORTRANGE(""https://docs.google.com/spreadsheets/d/1SX6NBoVAgQJ6U1MVXOaj8PK2l7WJ3RER9xtqwdhxkhw/edit?usp=sharing"",""ชัยนาท!I381"")"),0)</f>
        <v>0</v>
      </c>
      <c r="J486" s="189">
        <f ca="1">IFERROR(__xludf.DUMMYFUNCTION("IMPORTRANGE(""https://docs.google.com/spreadsheets/d/1SX6NBoVAgQJ6U1MVXOaj8PK2l7WJ3RER9xtqwdhxkhw/edit?usp=sharing"",""ชัยนาท!J381"")"),17)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IFERROR(__xludf.DUMMYFUNCTION("IMPORTRANGE(""https://docs.google.com/spreadsheets/d/1SX6NBoVAgQJ6U1MVXOaj8PK2l7WJ3RER9xtqwdhxkhw/edit?usp=sharing"",""ชัยนาท!I384"")"),0)</f>
        <v>0</v>
      </c>
      <c r="J489" s="189">
        <f ca="1">IFERROR(__xludf.DUMMYFUNCTION("IMPORTRANGE(""https://docs.google.com/spreadsheets/d/1SX6NBoVAgQJ6U1MVXOaj8PK2l7WJ3RER9xtqwdhxkhw/edit?usp=sharing"",""ชัยนาท!J384"")"),78)</f>
        <v>78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IFERROR(__xludf.DUMMYFUNCTION("IMPORTRANGE(""https://docs.google.com/spreadsheets/d/1SX6NBoVAgQJ6U1MVXOaj8PK2l7WJ3RER9xtqwdhxkhw/edit?usp=sharing"",""ชัยนาท!I385"")"),0)</f>
        <v>0</v>
      </c>
      <c r="J490" s="189">
        <f ca="1">IFERROR(__xludf.DUMMYFUNCTION("IMPORTRANGE(""https://docs.google.com/spreadsheets/d/1SX6NBoVAgQJ6U1MVXOaj8PK2l7WJ3RER9xtqwdhxkhw/edit?usp=sharing"",""ชัยนาท!J385"")"),4)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IFERROR(__xludf.DUMMYFUNCTION("IMPORTRANGE(""https://docs.google.com/spreadsheets/d/1SX6NBoVAgQJ6U1MVXOaj8PK2l7WJ3RER9xtqwdhxkhw/edit?usp=sharing"",""ชัยนาท!I386"")"),0)</f>
        <v>0</v>
      </c>
      <c r="J491" s="189">
        <f ca="1">IFERROR(__xludf.DUMMYFUNCTION("IMPORTRANGE(""https://docs.google.com/spreadsheets/d/1SX6NBoVAgQJ6U1MVXOaj8PK2l7WJ3RER9xtqwdhxkhw/edit?usp=sharing"",""ชัยนาท!J386"")"),0)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IFERROR(__xludf.DUMMYFUNCTION("IMPORTRANGE(""https://docs.google.com/spreadsheets/d/1SX6NBoVAgQJ6U1MVXOaj8PK2l7WJ3RER9xtqwdhxkhw/edit?usp=sharing"",""ชัยนาท!I387"")"),0)</f>
        <v>0</v>
      </c>
      <c r="J492" s="189">
        <f ca="1">IFERROR(__xludf.DUMMYFUNCTION("IMPORTRANGE(""https://docs.google.com/spreadsheets/d/1SX6NBoVAgQJ6U1MVXOaj8PK2l7WJ3RER9xtqwdhxkhw/edit?usp=sharing"",""ชัยนาท!J387"")"),0)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IFERROR(__xludf.DUMMYFUNCTION("IMPORTRANGE(""https://docs.google.com/spreadsheets/d/1SX6NBoVAgQJ6U1MVXOaj8PK2l7WJ3RER9xtqwdhxkhw/edit?usp=sharing"",""ชัยนาท!I388"")"),0)</f>
        <v>0</v>
      </c>
      <c r="J493" s="189">
        <f ca="1">IFERROR(__xludf.DUMMYFUNCTION("IMPORTRANGE(""https://docs.google.com/spreadsheets/d/1SX6NBoVAgQJ6U1MVXOaj8PK2l7WJ3RER9xtqwdhxkhw/edit?usp=sharing"",""ชัยนาท!J388"")"),0)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IFERROR(__xludf.DUMMYFUNCTION("IMPORTRANGE(""https://docs.google.com/spreadsheets/d/1SX6NBoVAgQJ6U1MVXOaj8PK2l7WJ3RER9xtqwdhxkhw/edit?usp=sharing"",""ชัยนาท!J392"")"),115)</f>
        <v>115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IFERROR(__xludf.DUMMYFUNCTION("IMPORTRANGE(""https://docs.google.com/spreadsheets/d/1SX6NBoVAgQJ6U1MVXOaj8PK2l7WJ3RER9xtqwdhxkhw/edit?usp=sharing"",""ชัยนาท!J393"")"),115)</f>
        <v>115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IFERROR(__xludf.DUMMYFUNCTION("IMPORTRANGE(""https://docs.google.com/spreadsheets/d/1SX6NBoVAgQJ6U1MVXOaj8PK2l7WJ3RER9xtqwdhxkhw/edit?usp=sharing"",""ชัยนาท!J394"")"),6)</f>
        <v>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IFERROR(__xludf.DUMMYFUNCTION("IMPORTRANGE(""https://docs.google.com/spreadsheets/d/1SX6NBoVAgQJ6U1MVXOaj8PK2l7WJ3RER9xtqwdhxkhw/edit?usp=sharing"",""ชัยนาท!I395"")"),0)</f>
        <v>0</v>
      </c>
      <c r="J500" s="162">
        <f ca="1">IFERROR(__xludf.DUMMYFUNCTION("IMPORTRANGE(""https://docs.google.com/spreadsheets/d/1SX6NBoVAgQJ6U1MVXOaj8PK2l7WJ3RER9xtqwdhxkhw/edit?usp=sharing"",""ชัยนาท!J395"")"),115)</f>
        <v>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IFERROR(__xludf.DUMMYFUNCTION("IMPORTRANGE(""https://docs.google.com/spreadsheets/d/1SX6NBoVAgQJ6U1MVXOaj8PK2l7WJ3RER9xtqwdhxkhw/edit?usp=sharing"",""ชัยนาท!I396"")"),0)</f>
        <v>0</v>
      </c>
      <c r="J501" s="162">
        <f ca="1">IFERROR(__xludf.DUMMYFUNCTION("IMPORTRANGE(""https://docs.google.com/spreadsheets/d/1SX6NBoVAgQJ6U1MVXOaj8PK2l7WJ3RER9xtqwdhxkhw/edit?usp=sharing"",""ชัยนาท!J396"")"),6)</f>
        <v>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IFERROR(__xludf.DUMMYFUNCTION("IMPORTRANGE(""https://docs.google.com/spreadsheets/d/1SX6NBoVAgQJ6U1MVXOaj8PK2l7WJ3RER9xtqwdhxkhw/edit?usp=sharing"",""ชัยนาท!I397"")"),0)</f>
        <v>0</v>
      </c>
      <c r="J502" s="189">
        <f ca="1">IFERROR(__xludf.DUMMYFUNCTION("IMPORTRANGE(""https://docs.google.com/spreadsheets/d/1SX6NBoVAgQJ6U1MVXOaj8PK2l7WJ3RER9xtqwdhxkhw/edit?usp=sharing"",""ชัยนาท!J397"")"),115)</f>
        <v>115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IFERROR(__xludf.DUMMYFUNCTION("IMPORTRANGE(""https://docs.google.com/spreadsheets/d/1SX6NBoVAgQJ6U1MVXOaj8PK2l7WJ3RER9xtqwdhxkhw/edit?usp=sharing"",""ชัยนาท!I398"")"),0)</f>
        <v>0</v>
      </c>
      <c r="J503" s="198">
        <f ca="1">IFERROR(__xludf.DUMMYFUNCTION("IMPORTRANGE(""https://docs.google.com/spreadsheets/d/1SX6NBoVAgQJ6U1MVXOaj8PK2l7WJ3RER9xtqwdhxkhw/edit?usp=sharing"",""ชัยนาท!J398"")"),6)</f>
        <v>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IFERROR(__xludf.DUMMYFUNCTION("IMPORTRANGE(""https://docs.google.com/spreadsheets/d/1SX6NBoVAgQJ6U1MVXOaj8PK2l7WJ3RER9xtqwdhxkhw/edit?usp=sharing"",""ชัยนาท!I399"")"),0)</f>
        <v>0</v>
      </c>
      <c r="J504" s="189">
        <f ca="1">IFERROR(__xludf.DUMMYFUNCTION("IMPORTRANGE(""https://docs.google.com/spreadsheets/d/1SX6NBoVAgQJ6U1MVXOaj8PK2l7WJ3RER9xtqwdhxkhw/edit?usp=sharing"",""ชัยนาท!J399"")"),0)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IFERROR(__xludf.DUMMYFUNCTION("IMPORTRANGE(""https://docs.google.com/spreadsheets/d/1SX6NBoVAgQJ6U1MVXOaj8PK2l7WJ3RER9xtqwdhxkhw/edit?usp=sharing"",""ชัยนาท!I400"")"),0)</f>
        <v>0</v>
      </c>
      <c r="J505" s="198">
        <f ca="1">IFERROR(__xludf.DUMMYFUNCTION("IMPORTRANGE(""https://docs.google.com/spreadsheets/d/1SX6NBoVAgQJ6U1MVXOaj8PK2l7WJ3RER9xtqwdhxkhw/edit?usp=sharing"",""ชัยนาท!J400"")"),0)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IFERROR(__xludf.DUMMYFUNCTION("IMPORTRANGE(""https://docs.google.com/spreadsheets/d/1SX6NBoVAgQJ6U1MVXOaj8PK2l7WJ3RER9xtqwdhxkhw/edit?usp=sharing"",""ชัยนาท!I401"")"),0)</f>
        <v>0</v>
      </c>
      <c r="J506" s="189">
        <f ca="1">IFERROR(__xludf.DUMMYFUNCTION("IMPORTRANGE(""https://docs.google.com/spreadsheets/d/1SX6NBoVAgQJ6U1MVXOaj8PK2l7WJ3RER9xtqwdhxkhw/edit?usp=sharing"",""ชัยนาท!J401"")"),0)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IFERROR(__xludf.DUMMYFUNCTION("IMPORTRANGE(""https://docs.google.com/spreadsheets/d/1SX6NBoVAgQJ6U1MVXOaj8PK2l7WJ3RER9xtqwdhxkhw/edit?usp=sharing"",""ชัยนาท!I402"")"),0)</f>
        <v>0</v>
      </c>
      <c r="J507" s="198">
        <f ca="1">IFERROR(__xludf.DUMMYFUNCTION("IMPORTRANGE(""https://docs.google.com/spreadsheets/d/1SX6NBoVAgQJ6U1MVXOaj8PK2l7WJ3RER9xtqwdhxkhw/edit?usp=sharing"",""ชัยนาท!J402"")"),0)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IFERROR(__xludf.DUMMYFUNCTION("IMPORTRANGE(""https://docs.google.com/spreadsheets/d/1SX6NBoVAgQJ6U1MVXOaj8PK2l7WJ3RER9xtqwdhxkhw/edit?usp=sharing"",""ชัยนาท!I403"")"),0)</f>
        <v>0</v>
      </c>
      <c r="J508" s="162">
        <f ca="1">IFERROR(__xludf.DUMMYFUNCTION("IMPORTRANGE(""https://docs.google.com/spreadsheets/d/1SX6NBoVAgQJ6U1MVXOaj8PK2l7WJ3RER9xtqwdhxkhw/edit?usp=sharing"",""ชัยนาท!J403"")"),0)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IFERROR(__xludf.DUMMYFUNCTION("IMPORTRANGE(""https://docs.google.com/spreadsheets/d/1SX6NBoVAgQJ6U1MVXOaj8PK2l7WJ3RER9xtqwdhxkhw/edit?usp=sharing"",""ชัยนาท!I404"")"),0)</f>
        <v>0</v>
      </c>
      <c r="J509" s="162">
        <f ca="1">IFERROR(__xludf.DUMMYFUNCTION("IMPORTRANGE(""https://docs.google.com/spreadsheets/d/1SX6NBoVAgQJ6U1MVXOaj8PK2l7WJ3RER9xtqwdhxkhw/edit?usp=sharing"",""ชัยนาท!J404"")"),0)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IFERROR(__xludf.DUMMYFUNCTION("IMPORTRANGE(""https://docs.google.com/spreadsheets/d/1SX6NBoVAgQJ6U1MVXOaj8PK2l7WJ3RER9xtqwdhxkhw/edit?usp=sharing"",""ชัยนาท!I405"")"),0)</f>
        <v>0</v>
      </c>
      <c r="J510" s="198">
        <f ca="1">IFERROR(__xludf.DUMMYFUNCTION("IMPORTRANGE(""https://docs.google.com/spreadsheets/d/1SX6NBoVAgQJ6U1MVXOaj8PK2l7WJ3RER9xtqwdhxkhw/edit?usp=sharing"",""ชัยนาท!J405"")"),0)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IFERROR(__xludf.DUMMYFUNCTION("IMPORTRANGE(""https://docs.google.com/spreadsheets/d/1SX6NBoVAgQJ6U1MVXOaj8PK2l7WJ3RER9xtqwdhxkhw/edit?usp=sharing"",""ชัยนาท!I406"")"),0)</f>
        <v>0</v>
      </c>
      <c r="J511" s="198">
        <f ca="1">IFERROR(__xludf.DUMMYFUNCTION("IMPORTRANGE(""https://docs.google.com/spreadsheets/d/1SX6NBoVAgQJ6U1MVXOaj8PK2l7WJ3RER9xtqwdhxkhw/edit?usp=sharing"",""ชัยนาท!J406"")"),0)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IFERROR(__xludf.DUMMYFUNCTION("IMPORTRANGE(""https://docs.google.com/spreadsheets/d/1SX6NBoVAgQJ6U1MVXOaj8PK2l7WJ3RER9xtqwdhxkhw/edit?usp=sharing"",""ชัยนาท!I407"")"),0)</f>
        <v>0</v>
      </c>
      <c r="J512" s="198">
        <f ca="1">IFERROR(__xludf.DUMMYFUNCTION("IMPORTRANGE(""https://docs.google.com/spreadsheets/d/1SX6NBoVAgQJ6U1MVXOaj8PK2l7WJ3RER9xtqwdhxkhw/edit?usp=sharing"",""ชัยนาท!J407"")"),0)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IFERROR(__xludf.DUMMYFUNCTION("IMPORTRANGE(""https://docs.google.com/spreadsheets/d/1SX6NBoVAgQJ6U1MVXOaj8PK2l7WJ3RER9xtqwdhxkhw/edit?usp=sharing"",""ชัยนาท!I408"")"),0)</f>
        <v>0</v>
      </c>
      <c r="J513" s="198">
        <f ca="1">IFERROR(__xludf.DUMMYFUNCTION("IMPORTRANGE(""https://docs.google.com/spreadsheets/d/1SX6NBoVAgQJ6U1MVXOaj8PK2l7WJ3RER9xtqwdhxkhw/edit?usp=sharing"",""ชัยนาท!J408"")"),0)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IFERROR(__xludf.DUMMYFUNCTION("IMPORTRANGE(""https://docs.google.com/spreadsheets/d/1SX6NBoVAgQJ6U1MVXOaj8PK2l7WJ3RER9xtqwdhxkhw/edit?usp=sharing"",""ชัยนาท!I409"")"),0)</f>
        <v>0</v>
      </c>
      <c r="J514" s="198">
        <f ca="1">IFERROR(__xludf.DUMMYFUNCTION("IMPORTRANGE(""https://docs.google.com/spreadsheets/d/1SX6NBoVAgQJ6U1MVXOaj8PK2l7WJ3RER9xtqwdhxkhw/edit?usp=sharing"",""ชัยนาท!J409"")"),0)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IFERROR(__xludf.DUMMYFUNCTION("IMPORTRANGE(""https://docs.google.com/spreadsheets/d/1SX6NBoVAgQJ6U1MVXOaj8PK2l7WJ3RER9xtqwdhxkhw/edit?usp=sharing"",""ชัยนาท!I410"")"),0)</f>
        <v>0</v>
      </c>
      <c r="J515" s="198">
        <f ca="1">IFERROR(__xludf.DUMMYFUNCTION("IMPORTRANGE(""https://docs.google.com/spreadsheets/d/1SX6NBoVAgQJ6U1MVXOaj8PK2l7WJ3RER9xtqwdhxkhw/edit?usp=sharing"",""ชัยนาท!J410"")"),0)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IFERROR(__xludf.DUMMYFUNCTION("IMPORTRANGE(""https://docs.google.com/spreadsheets/d/1SX6NBoVAgQJ6U1MVXOaj8PK2l7WJ3RER9xtqwdhxkhw/edit?usp=sharing"",""ชัยนาท!I411"")"),0)</f>
        <v>0</v>
      </c>
      <c r="J516" s="268">
        <f ca="1">IFERROR(__xludf.DUMMYFUNCTION("IMPORTRANGE(""https://docs.google.com/spreadsheets/d/1SX6NBoVAgQJ6U1MVXOaj8PK2l7WJ3RER9xtqwdhxkhw/edit?usp=sharing"",""ชัยนาท!J411"")"),0)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IFERROR(__xludf.DUMMYFUNCTION("IMPORTRANGE(""https://docs.google.com/spreadsheets/d/1SX6NBoVAgQJ6U1MVXOaj8PK2l7WJ3RER9xtqwdhxkhw/edit?usp=sharing"",""ชัยนาท!I412"")"),0)</f>
        <v>0</v>
      </c>
      <c r="J517" s="285">
        <f ca="1">IFERROR(__xludf.DUMMYFUNCTION("IMPORTRANGE(""https://docs.google.com/spreadsheets/d/1SX6NBoVAgQJ6U1MVXOaj8PK2l7WJ3RER9xtqwdhxkhw/edit?usp=sharing"",""ชัยนาท!J412"")"),0)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IFERROR(__xludf.DUMMYFUNCTION("IMPORTRANGE(""https://docs.google.com/spreadsheets/d/1SX6NBoVAgQJ6U1MVXOaj8PK2l7WJ3RER9xtqwdhxkhw/edit?usp=sharing"",""ชัยนาท!I413"")"),0)</f>
        <v>0</v>
      </c>
      <c r="J518" s="285">
        <f ca="1">IFERROR(__xludf.DUMMYFUNCTION("IMPORTRANGE(""https://docs.google.com/spreadsheets/d/1SX6NBoVAgQJ6U1MVXOaj8PK2l7WJ3RER9xtqwdhxkhw/edit?usp=sharing"",""ชัยนาท!J413"")"),0)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IFERROR(__xludf.DUMMYFUNCTION("IMPORTRANGE(""https://docs.google.com/spreadsheets/d/1SX6NBoVAgQJ6U1MVXOaj8PK2l7WJ3RER9xtqwdhxkhw/edit?usp=sharing"",""ชัยนาท!I414"")"),0)</f>
        <v>0</v>
      </c>
      <c r="J519" s="188">
        <f ca="1">IFERROR(__xludf.DUMMYFUNCTION("IMPORTRANGE(""https://docs.google.com/spreadsheets/d/1SX6NBoVAgQJ6U1MVXOaj8PK2l7WJ3RER9xtqwdhxkhw/edit?usp=sharing"",""ชัยนาท!J414"")"),0)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IFERROR(__xludf.DUMMYFUNCTION("IMPORTRANGE(""https://docs.google.com/spreadsheets/d/1SX6NBoVAgQJ6U1MVXOaj8PK2l7WJ3RER9xtqwdhxkhw/edit?usp=sharing"",""ชัยนาท!I415"")"),0)</f>
        <v>0</v>
      </c>
      <c r="J520" s="188">
        <f ca="1">IFERROR(__xludf.DUMMYFUNCTION("IMPORTRANGE(""https://docs.google.com/spreadsheets/d/1SX6NBoVAgQJ6U1MVXOaj8PK2l7WJ3RER9xtqwdhxkhw/edit?usp=sharing"",""ชัยนาท!J415"")"),0)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IFERROR(__xludf.DUMMYFUNCTION("IMPORTRANGE(""https://docs.google.com/spreadsheets/d/1SX6NBoVAgQJ6U1MVXOaj8PK2l7WJ3RER9xtqwdhxkhw/edit?usp=sharing"",""ชัยนาท!I416"")"),0)</f>
        <v>0</v>
      </c>
      <c r="J521" s="188">
        <f ca="1">IFERROR(__xludf.DUMMYFUNCTION("IMPORTRANGE(""https://docs.google.com/spreadsheets/d/1SX6NBoVAgQJ6U1MVXOaj8PK2l7WJ3RER9xtqwdhxkhw/edit?usp=sharing"",""ชัยนาท!J416"")"),0)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IFERROR(__xludf.DUMMYFUNCTION("IMPORTRANGE(""https://docs.google.com/spreadsheets/d/1SX6NBoVAgQJ6U1MVXOaj8PK2l7WJ3RER9xtqwdhxkhw/edit?usp=sharing"",""ชัยนาท!I417"")"),0)</f>
        <v>0</v>
      </c>
      <c r="J522" s="188">
        <f ca="1">IFERROR(__xludf.DUMMYFUNCTION("IMPORTRANGE(""https://docs.google.com/spreadsheets/d/1SX6NBoVAgQJ6U1MVXOaj8PK2l7WJ3RER9xtqwdhxkhw/edit?usp=sharing"",""ชัยนาท!J417"")"),0)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IFERROR(__xludf.DUMMYFUNCTION("IMPORTRANGE(""https://docs.google.com/spreadsheets/d/1SX6NBoVAgQJ6U1MVXOaj8PK2l7WJ3RER9xtqwdhxkhw/edit?usp=sharing"",""ชัยนาท!I418"")"),0)</f>
        <v>0</v>
      </c>
      <c r="J523" s="188">
        <f ca="1">IFERROR(__xludf.DUMMYFUNCTION("IMPORTRANGE(""https://docs.google.com/spreadsheets/d/1SX6NBoVAgQJ6U1MVXOaj8PK2l7WJ3RER9xtqwdhxkhw/edit?usp=sharing"",""ชัยนาท!J418"")"),0)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IFERROR(__xludf.DUMMYFUNCTION("IMPORTRANGE(""https://docs.google.com/spreadsheets/d/1SX6NBoVAgQJ6U1MVXOaj8PK2l7WJ3RER9xtqwdhxkhw/edit?usp=sharing"",""ชัยนาท!I419"")"),0)</f>
        <v>0</v>
      </c>
      <c r="J524" s="188">
        <f ca="1">IFERROR(__xludf.DUMMYFUNCTION("IMPORTRANGE(""https://docs.google.com/spreadsheets/d/1SX6NBoVAgQJ6U1MVXOaj8PK2l7WJ3RER9xtqwdhxkhw/edit?usp=sharing"",""ชัยนาท!J419"")"),0)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IFERROR(__xludf.DUMMYFUNCTION("IMPORTRANGE(""https://docs.google.com/spreadsheets/d/1SX6NBoVAgQJ6U1MVXOaj8PK2l7WJ3RER9xtqwdhxkhw/edit?usp=sharing"",""ชัยนาท!I420"")"),0)</f>
        <v>0</v>
      </c>
      <c r="J525" s="285">
        <f ca="1">IFERROR(__xludf.DUMMYFUNCTION("IMPORTRANGE(""https://docs.google.com/spreadsheets/d/1SX6NBoVAgQJ6U1MVXOaj8PK2l7WJ3RER9xtqwdhxkhw/edit?usp=sharing"",""ชัยนาท!J420"")"),0)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IFERROR(__xludf.DUMMYFUNCTION("IMPORTRANGE(""https://docs.google.com/spreadsheets/d/1SX6NBoVAgQJ6U1MVXOaj8PK2l7WJ3RER9xtqwdhxkhw/edit?usp=sharing"",""ชัยนาท!I421"")"),0)</f>
        <v>0</v>
      </c>
      <c r="J526" s="285">
        <f ca="1">IFERROR(__xludf.DUMMYFUNCTION("IMPORTRANGE(""https://docs.google.com/spreadsheets/d/1SX6NBoVAgQJ6U1MVXOaj8PK2l7WJ3RER9xtqwdhxkhw/edit?usp=sharing"",""ชัยนาท!J421"")"),0)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IFERROR(__xludf.DUMMYFUNCTION("IMPORTRANGE(""https://docs.google.com/spreadsheets/d/1SX6NBoVAgQJ6U1MVXOaj8PK2l7WJ3RER9xtqwdhxkhw/edit?usp=sharing"",""ชัยนาท!I422"")"),0)</f>
        <v>0</v>
      </c>
      <c r="J527" s="198">
        <f ca="1">IFERROR(__xludf.DUMMYFUNCTION("IMPORTRANGE(""https://docs.google.com/spreadsheets/d/1SX6NBoVAgQJ6U1MVXOaj8PK2l7WJ3RER9xtqwdhxkhw/edit?usp=sharing"",""ชัยนาท!J422"")"),0)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IFERROR(__xludf.DUMMYFUNCTION("IMPORTRANGE(""https://docs.google.com/spreadsheets/d/1SX6NBoVAgQJ6U1MVXOaj8PK2l7WJ3RER9xtqwdhxkhw/edit?usp=sharing"",""ชัยนาท!I423"")"),0)</f>
        <v>0</v>
      </c>
      <c r="J528" s="198">
        <f ca="1">IFERROR(__xludf.DUMMYFUNCTION("IMPORTRANGE(""https://docs.google.com/spreadsheets/d/1SX6NBoVAgQJ6U1MVXOaj8PK2l7WJ3RER9xtqwdhxkhw/edit?usp=sharing"",""ชัยนาท!J423"")"),0)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IFERROR(__xludf.DUMMYFUNCTION("IMPORTRANGE(""https://docs.google.com/spreadsheets/d/1SX6NBoVAgQJ6U1MVXOaj8PK2l7WJ3RER9xtqwdhxkhw/edit?usp=sharing"",""ชัยนาท!I424"")"),0)</f>
        <v>0</v>
      </c>
      <c r="J529" s="198">
        <f ca="1">IFERROR(__xludf.DUMMYFUNCTION("IMPORTRANGE(""https://docs.google.com/spreadsheets/d/1SX6NBoVAgQJ6U1MVXOaj8PK2l7WJ3RER9xtqwdhxkhw/edit?usp=sharing"",""ชัยนาท!J424"")"),0)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IFERROR(__xludf.DUMMYFUNCTION("IMPORTRANGE(""https://docs.google.com/spreadsheets/d/1SX6NBoVAgQJ6U1MVXOaj8PK2l7WJ3RER9xtqwdhxkhw/edit?usp=sharing"",""ชัยนาท!I425"")"),0)</f>
        <v>0</v>
      </c>
      <c r="J530" s="198">
        <f ca="1">IFERROR(__xludf.DUMMYFUNCTION("IMPORTRANGE(""https://docs.google.com/spreadsheets/d/1SX6NBoVAgQJ6U1MVXOaj8PK2l7WJ3RER9xtqwdhxkhw/edit?usp=sharing"",""ชัยนาท!J425"")"),0)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IFERROR(__xludf.DUMMYFUNCTION("IMPORTRANGE(""https://docs.google.com/spreadsheets/d/1SX6NBoVAgQJ6U1MVXOaj8PK2l7WJ3RER9xtqwdhxkhw/edit?usp=sharing"",""ชัยนาท!I426"")"),0)</f>
        <v>0</v>
      </c>
      <c r="J531" s="198">
        <f ca="1">IFERROR(__xludf.DUMMYFUNCTION("IMPORTRANGE(""https://docs.google.com/spreadsheets/d/1SX6NBoVAgQJ6U1MVXOaj8PK2l7WJ3RER9xtqwdhxkhw/edit?usp=sharing"",""ชัยนาท!J426"")"),0)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IFERROR(__xludf.DUMMYFUNCTION("IMPORTRANGE(""https://docs.google.com/spreadsheets/d/1SX6NBoVAgQJ6U1MVXOaj8PK2l7WJ3RER9xtqwdhxkhw/edit?usp=sharing"",""ชัยนาท!L428"")"),34340)</f>
        <v>34340</v>
      </c>
      <c r="M533" s="412"/>
      <c r="N533" s="412">
        <f ca="1">IFERROR(__xludf.DUMMYFUNCTION("IMPORTRANGE(""https://docs.google.com/spreadsheets/d/1SX6NBoVAgQJ6U1MVXOaj8PK2l7WJ3RER9xtqwdhxkhw/edit?usp=sharing"",""ชัยนาท!M428"")"),26220)</f>
        <v>26220</v>
      </c>
      <c r="O533" s="412">
        <f t="shared" ref="O533:O537" ca="1" si="118">+IF(L533&gt;0,N533*100/L533,0)</f>
        <v>76.35410599883518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IFERROR(__xludf.DUMMYFUNCTION("IMPORTRANGE(""https://docs.google.com/spreadsheets/d/1SX6NBoVAgQJ6U1MVXOaj8PK2l7WJ3RER9xtqwdhxkhw/edit?usp=sharing"",""ชัยนาท!L429"")"),0)</f>
        <v>0</v>
      </c>
      <c r="M534" s="164"/>
      <c r="N534" s="169">
        <f ca="1">IFERROR(__xludf.DUMMYFUNCTION("IMPORTRANGE(""https://docs.google.com/spreadsheets/d/1SX6NBoVAgQJ6U1MVXOaj8PK2l7WJ3RER9xtqwdhxkhw/edit?usp=sharing"",""ชัยนาท!M429"")"),0)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IFERROR(__xludf.DUMMYFUNCTION("IMPORTRANGE(""https://docs.google.com/spreadsheets/d/1SX6NBoVAgQJ6U1MVXOaj8PK2l7WJ3RER9xtqwdhxkhw/edit?usp=sharing"",""ชัยนาท!L430"")"),34340)</f>
        <v>34340</v>
      </c>
      <c r="M535" s="165"/>
      <c r="N535" s="169">
        <f ca="1">IFERROR(__xludf.DUMMYFUNCTION("IMPORTRANGE(""https://docs.google.com/spreadsheets/d/1SX6NBoVAgQJ6U1MVXOaj8PK2l7WJ3RER9xtqwdhxkhw/edit?usp=sharing"",""ชัยนาท!M430"")"),26220)</f>
        <v>26220</v>
      </c>
      <c r="O535" s="169">
        <f t="shared" ca="1" si="118"/>
        <v>76.35410599883518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IFERROR(__xludf.DUMMYFUNCTION("IMPORTRANGE(""https://docs.google.com/spreadsheets/d/1SX6NBoVAgQJ6U1MVXOaj8PK2l7WJ3RER9xtqwdhxkhw/edit?usp=sharing"",""ชัยนาท!L431"")"),0)</f>
        <v>0</v>
      </c>
      <c r="M536" s="169"/>
      <c r="N536" s="169">
        <f ca="1">IFERROR(__xludf.DUMMYFUNCTION("IMPORTRANGE(""https://docs.google.com/spreadsheets/d/1SX6NBoVAgQJ6U1MVXOaj8PK2l7WJ3RER9xtqwdhxkhw/edit?usp=sharing"",""ชัยนาท!M431"")"),0)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IFERROR(__xludf.DUMMYFUNCTION("IMPORTRANGE(""https://docs.google.com/spreadsheets/d/1SX6NBoVAgQJ6U1MVXOaj8PK2l7WJ3RER9xtqwdhxkhw/edit?usp=sharing"",""ชัยนาท!L432"")"),34340)</f>
        <v>34340</v>
      </c>
      <c r="M537" s="169"/>
      <c r="N537" s="169">
        <f ca="1">IFERROR(__xludf.DUMMYFUNCTION("IMPORTRANGE(""https://docs.google.com/spreadsheets/d/1SX6NBoVAgQJ6U1MVXOaj8PK2l7WJ3RER9xtqwdhxkhw/edit?usp=sharing"",""ชัยนาท!M432"")"),26220)</f>
        <v>26220</v>
      </c>
      <c r="O537" s="169">
        <f t="shared" ca="1" si="118"/>
        <v>76.35410599883518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IFERROR(__xludf.DUMMYFUNCTION("IMPORTRANGE(""https://docs.google.com/spreadsheets/d/1SX6NBoVAgQJ6U1MVXOaj8PK2l7WJ3RER9xtqwdhxkhw/edit?usp=sharing"",""ชัยนาท!M436"")"),7480)</f>
        <v>7480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IFERROR(__xludf.DUMMYFUNCTION("IMPORTRANGE(""https://docs.google.com/spreadsheets/d/1SX6NBoVAgQJ6U1MVXOaj8PK2l7WJ3RER9xtqwdhxkhw/edit?usp=sharing"",""ชัยนาท!J438"")"),0)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IFERROR(__xludf.DUMMYFUNCTION("IMPORTRANGE(""https://docs.google.com/spreadsheets/d/1SX6NBoVAgQJ6U1MVXOaj8PK2l7WJ3RER9xtqwdhxkhw/edit?usp=sharing"",""ชัยนาท!J439"")"),1)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IFERROR(__xludf.DUMMYFUNCTION("IMPORTRANGE(""https://docs.google.com/spreadsheets/d/1SX6NBoVAgQJ6U1MVXOaj8PK2l7WJ3RER9xtqwdhxkhw/edit?usp=sharing"",""ชัยนาท!J440"")"),1)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IFERROR(__xludf.DUMMYFUNCTION("IMPORTRANGE(""https://docs.google.com/spreadsheets/d/1SX6NBoVAgQJ6U1MVXOaj8PK2l7WJ3RER9xtqwdhxkhw/edit?usp=sharing"",""ชัยนาท!J441"")"),1)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IFERROR(__xludf.DUMMYFUNCTION("IMPORTRANGE(""https://docs.google.com/spreadsheets/d/1SX6NBoVAgQJ6U1MVXOaj8PK2l7WJ3RER9xtqwdhxkhw/edit?usp=sharing"",""ชัยนาท!I442"")"),22)</f>
        <v>22</v>
      </c>
      <c r="J547" s="189">
        <f ca="1">IFERROR(__xludf.DUMMYFUNCTION("IMPORTRANGE(""https://docs.google.com/spreadsheets/d/1SX6NBoVAgQJ6U1MVXOaj8PK2l7WJ3RER9xtqwdhxkhw/edit?usp=sharing"",""ชัยนาท!J442"")"),22)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IFERROR(__xludf.DUMMYFUNCTION("IMPORTRANGE(""https://docs.google.com/spreadsheets/d/1SX6NBoVAgQJ6U1MVXOaj8PK2l7WJ3RER9xtqwdhxkhw/edit?usp=sharing"",""ชัยนาท!J166"")"),0)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IFERROR(__xludf.DUMMYFUNCTION("IMPORTRANGE(""https://docs.google.com/spreadsheets/d/1SX6NBoVAgQJ6U1MVXOaj8PK2l7WJ3RER9xtqwdhxkhw/edit?usp=sharing"",""ชัยนาท!J444"")"),0)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IFERROR(__xludf.DUMMYFUNCTION("IMPORTRANGE(""https://docs.google.com/spreadsheets/d/1SX6NBoVAgQJ6U1MVXOaj8PK2l7WJ3RER9xtqwdhxkhw/edit?usp=sharing"",""ชัยนาท!L447"")"),0)</f>
        <v>0</v>
      </c>
      <c r="M552" s="164"/>
      <c r="N552" s="169">
        <f ca="1">IFERROR(__xludf.DUMMYFUNCTION("IMPORTRANGE(""https://docs.google.com/spreadsheets/d/1SX6NBoVAgQJ6U1MVXOaj8PK2l7WJ3RER9xtqwdhxkhw/edit?usp=sharing"",""ชัยนาท!M447"")"),0)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IFERROR(__xludf.DUMMYFUNCTION("IMPORTRANGE(""https://docs.google.com/spreadsheets/d/1SX6NBoVAgQJ6U1MVXOaj8PK2l7WJ3RER9xtqwdhxkhw/edit?usp=sharing"",""ชัยนาท!L448"")"),0)</f>
        <v>0</v>
      </c>
      <c r="M553" s="165"/>
      <c r="N553" s="169">
        <f ca="1">IFERROR(__xludf.DUMMYFUNCTION("IMPORTRANGE(""https://docs.google.com/spreadsheets/d/1SX6NBoVAgQJ6U1MVXOaj8PK2l7WJ3RER9xtqwdhxkhw/edit?usp=sharing"",""ชัยนาท!M448"")"),0)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IFERROR(__xludf.DUMMYFUNCTION("IMPORTRANGE(""https://docs.google.com/spreadsheets/d/1SX6NBoVAgQJ6U1MVXOaj8PK2l7WJ3RER9xtqwdhxkhw/edit?usp=sharing"",""ชัยนาท!L449"")"),0)</f>
        <v>0</v>
      </c>
      <c r="M554" s="169"/>
      <c r="N554" s="169">
        <f ca="1">IFERROR(__xludf.DUMMYFUNCTION("IMPORTRANGE(""https://docs.google.com/spreadsheets/d/1SX6NBoVAgQJ6U1MVXOaj8PK2l7WJ3RER9xtqwdhxkhw/edit?usp=sharing"",""ชัยนาท!M449"")"),0)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IFERROR(__xludf.DUMMYFUNCTION("IMPORTRANGE(""https://docs.google.com/spreadsheets/d/1SX6NBoVAgQJ6U1MVXOaj8PK2l7WJ3RER9xtqwdhxkhw/edit?usp=sharing"",""ชัยนาท!L450"")"),0)</f>
        <v>0</v>
      </c>
      <c r="M555" s="169"/>
      <c r="N555" s="169">
        <f ca="1">IFERROR(__xludf.DUMMYFUNCTION("IMPORTRANGE(""https://docs.google.com/spreadsheets/d/1SX6NBoVAgQJ6U1MVXOaj8PK2l7WJ3RER9xtqwdhxkhw/edit?usp=sharing"",""ชัยนาท!M450"")"),0)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IFERROR(__xludf.DUMMYFUNCTION("IMPORTRANGE(""https://docs.google.com/spreadsheets/d/1SX6NBoVAgQJ6U1MVXOaj8PK2l7WJ3RER9xtqwdhxkhw/edit?usp=sharing"",""ชัยนาท!M451"")"),0)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IFERROR(__xludf.DUMMYFUNCTION("IMPORTRANGE(""https://docs.google.com/spreadsheets/d/1SX6NBoVAgQJ6U1MVXOaj8PK2l7WJ3RER9xtqwdhxkhw/edit?usp=sharing"",""ชัยนาท!M452"")"),0)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IFERROR(__xludf.DUMMYFUNCTION("IMPORTRANGE(""https://docs.google.com/spreadsheets/d/1SX6NBoVAgQJ6U1MVXOaj8PK2l7WJ3RER9xtqwdhxkhw/edit?usp=sharing"",""ชัยนาท!M453"")"),0)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IFERROR(__xludf.DUMMYFUNCTION("IMPORTRANGE(""https://docs.google.com/spreadsheets/d/1SX6NBoVAgQJ6U1MVXOaj8PK2l7WJ3RER9xtqwdhxkhw/edit?usp=sharing"",""ชัยนาท!M454"")"),0)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IFERROR(__xludf.DUMMYFUNCTION("IMPORTRANGE(""https://docs.google.com/spreadsheets/d/1SX6NBoVAgQJ6U1MVXOaj8PK2l7WJ3RER9xtqwdhxkhw/edit?usp=sharing"",""ชัยนาท!I455"")"),0)</f>
        <v>0</v>
      </c>
      <c r="J560" s="162">
        <f ca="1">IFERROR(__xludf.DUMMYFUNCTION("IMPORTRANGE(""https://docs.google.com/spreadsheets/d/1SX6NBoVAgQJ6U1MVXOaj8PK2l7WJ3RER9xtqwdhxkhw/edit?usp=sharing"",""ชัยนาท!J455"")"),0)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IFERROR(__xludf.DUMMYFUNCTION("IMPORTRANGE(""https://docs.google.com/spreadsheets/d/1SX6NBoVAgQJ6U1MVXOaj8PK2l7WJ3RER9xtqwdhxkhw/edit?usp=sharing"",""ชัยนาท!I456"")"),0)</f>
        <v>0</v>
      </c>
      <c r="J561" s="204">
        <f ca="1">IFERROR(__xludf.DUMMYFUNCTION("IMPORTRANGE(""https://docs.google.com/spreadsheets/d/1SX6NBoVAgQJ6U1MVXOaj8PK2l7WJ3RER9xtqwdhxkhw/edit?usp=sharing"",""ชัยนาท!J456"")"),0)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IFERROR(__xludf.DUMMYFUNCTION("IMPORTRANGE(""https://docs.google.com/spreadsheets/d/1SX6NBoVAgQJ6U1MVXOaj8PK2l7WJ3RER9xtqwdhxkhw/edit?usp=sharing"",""ชัยนาท!J459"")"),1343)</f>
        <v>1343</v>
      </c>
      <c r="K564" s="372">
        <f ca="1">IF(I564&gt;0,J564*100/I564,0)</f>
        <v>671.5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IFERROR(__xludf.DUMMYFUNCTION("IMPORTRANGE(""https://docs.google.com/spreadsheets/d/1SX6NBoVAgQJ6U1MVXOaj8PK2l7WJ3RER9xtqwdhxkhw/edit?usp=sharing"",""ชัยนาท!M459"")"),71025)</f>
        <v>71025</v>
      </c>
      <c r="O564" s="373">
        <f t="shared" ref="O564:O568" ca="1" si="122">+IF(L564&gt;0,N564*100/L564,0)</f>
        <v>56.911057692307693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IFERROR(__xludf.DUMMYFUNCTION("IMPORTRANGE(""https://docs.google.com/spreadsheets/d/1SX6NBoVAgQJ6U1MVXOaj8PK2l7WJ3RER9xtqwdhxkhw/edit?usp=sharing"",""ชัยนาท!L460"")"),0)</f>
        <v>0</v>
      </c>
      <c r="M565" s="164"/>
      <c r="N565" s="169">
        <f ca="1">IFERROR(__xludf.DUMMYFUNCTION("IMPORTRANGE(""https://docs.google.com/spreadsheets/d/1SX6NBoVAgQJ6U1MVXOaj8PK2l7WJ3RER9xtqwdhxkhw/edit?usp=sharing"",""ชัยนาท!M460"")"),0)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IFERROR(__xludf.DUMMYFUNCTION("IMPORTRANGE(""https://docs.google.com/spreadsheets/d/1SX6NBoVAgQJ6U1MVXOaj8PK2l7WJ3RER9xtqwdhxkhw/edit?usp=sharing"",""ชัยนาท!L461"")"),124800)</f>
        <v>124800</v>
      </c>
      <c r="M566" s="165"/>
      <c r="N566" s="169">
        <f ca="1">IFERROR(__xludf.DUMMYFUNCTION("IMPORTRANGE(""https://docs.google.com/spreadsheets/d/1SX6NBoVAgQJ6U1MVXOaj8PK2l7WJ3RER9xtqwdhxkhw/edit?usp=sharing"",""ชัยนาท!M461"")"),71025)</f>
        <v>71025</v>
      </c>
      <c r="O566" s="169">
        <f t="shared" ca="1" si="122"/>
        <v>56.911057692307693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IFERROR(__xludf.DUMMYFUNCTION("IMPORTRANGE(""https://docs.google.com/spreadsheets/d/1SX6NBoVAgQJ6U1MVXOaj8PK2l7WJ3RER9xtqwdhxkhw/edit?usp=sharing"",""ชัยนาท!L462"")"),0)</f>
        <v>0</v>
      </c>
      <c r="M567" s="169"/>
      <c r="N567" s="169">
        <f ca="1">IFERROR(__xludf.DUMMYFUNCTION("IMPORTRANGE(""https://docs.google.com/spreadsheets/d/1SX6NBoVAgQJ6U1MVXOaj8PK2l7WJ3RER9xtqwdhxkhw/edit?usp=sharing"",""ชัยนาท!M462"")"),0)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IFERROR(__xludf.DUMMYFUNCTION("IMPORTRANGE(""https://docs.google.com/spreadsheets/d/1SX6NBoVAgQJ6U1MVXOaj8PK2l7WJ3RER9xtqwdhxkhw/edit?usp=sharing"",""ชัยนาท!L463"")"),124800)</f>
        <v>124800</v>
      </c>
      <c r="M568" s="169"/>
      <c r="N568" s="169">
        <f ca="1">IFERROR(__xludf.DUMMYFUNCTION("IMPORTRANGE(""https://docs.google.com/spreadsheets/d/1SX6NBoVAgQJ6U1MVXOaj8PK2l7WJ3RER9xtqwdhxkhw/edit?usp=sharing"",""ชัยนาท!M463"")"),71025)</f>
        <v>71025</v>
      </c>
      <c r="O568" s="169">
        <f t="shared" ca="1" si="122"/>
        <v>56.911057692307693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IFERROR(__xludf.DUMMYFUNCTION("IMPORTRANGE(""https://docs.google.com/spreadsheets/d/1SX6NBoVAgQJ6U1MVXOaj8PK2l7WJ3RER9xtqwdhxkhw/edit?usp=sharing"",""ชัยนาท!M464"")"),0)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IFERROR(__xludf.DUMMYFUNCTION("IMPORTRANGE(""https://docs.google.com/spreadsheets/d/1SX6NBoVAgQJ6U1MVXOaj8PK2l7WJ3RER9xtqwdhxkhw/edit?usp=sharing"",""ชัยนาท!M465"")"),0)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IFERROR(__xludf.DUMMYFUNCTION("IMPORTRANGE(""https://docs.google.com/spreadsheets/d/1SX6NBoVAgQJ6U1MVXOaj8PK2l7WJ3RER9xtqwdhxkhw/edit?usp=sharing"",""ชัยนาท!M466"")"),66000)</f>
        <v>66000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IFERROR(__xludf.DUMMYFUNCTION("IMPORTRANGE(""https://docs.google.com/spreadsheets/d/1SX6NBoVAgQJ6U1MVXOaj8PK2l7WJ3RER9xtqwdhxkhw/edit?usp=sharing"",""ชัยนาท!M467"")"),5025)</f>
        <v>5025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IFERROR(__xludf.DUMMYFUNCTION("IMPORTRANGE(""https://docs.google.com/spreadsheets/d/1SX6NBoVAgQJ6U1MVXOaj8PK2l7WJ3RER9xtqwdhxkhw/edit?usp=sharing"",""ชัยนาท!J468"")"),1343)</f>
        <v>1343</v>
      </c>
      <c r="K573" s="202">
        <f ca="1">IF(I573&gt;0,J573*100/I573,0)</f>
        <v>671.5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IFERROR(__xludf.DUMMYFUNCTION("IMPORTRANGE(""https://docs.google.com/spreadsheets/d/1SX6NBoVAgQJ6U1MVXOaj8PK2l7WJ3RER9xtqwdhxkhw/edit?usp=sharing"",""ชัยนาท!I470"")"),0)</f>
        <v>0</v>
      </c>
      <c r="J575" s="198">
        <f ca="1">IFERROR(__xludf.DUMMYFUNCTION("IMPORTRANGE(""https://docs.google.com/spreadsheets/d/1SX6NBoVAgQJ6U1MVXOaj8PK2l7WJ3RER9xtqwdhxkhw/edit?usp=sharing"",""ชัยนาท!J470"")"),1)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IFERROR(__xludf.DUMMYFUNCTION("IMPORTRANGE(""https://docs.google.com/spreadsheets/d/1SX6NBoVAgQJ6U1MVXOaj8PK2l7WJ3RER9xtqwdhxkhw/edit?usp=sharing"",""ชัยนาท!I471"")"),0)</f>
        <v>0</v>
      </c>
      <c r="J576" s="198">
        <f ca="1">IFERROR(__xludf.DUMMYFUNCTION("IMPORTRANGE(""https://docs.google.com/spreadsheets/d/1SX6NBoVAgQJ6U1MVXOaj8PK2l7WJ3RER9xtqwdhxkhw/edit?usp=sharing"",""ชัยนาท!J471"")"),21)</f>
        <v>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IFERROR(__xludf.DUMMYFUNCTION("IMPORTRANGE(""https://docs.google.com/spreadsheets/d/1SX6NBoVAgQJ6U1MVXOaj8PK2l7WJ3RER9xtqwdhxkhw/edit?usp=sharing"",""ชัยนาท!I472"")"),0)</f>
        <v>0</v>
      </c>
      <c r="J577" s="189">
        <f ca="1">IFERROR(__xludf.DUMMYFUNCTION("IMPORTRANGE(""https://docs.google.com/spreadsheets/d/1SX6NBoVAgQJ6U1MVXOaj8PK2l7WJ3RER9xtqwdhxkhw/edit?usp=sharing"",""ชัยนาท!J472"")"),1322)</f>
        <v>1322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IFERROR(__xludf.DUMMYFUNCTION("IMPORTRANGE(""https://docs.google.com/spreadsheets/d/1SX6NBoVAgQJ6U1MVXOaj8PK2l7WJ3RER9xtqwdhxkhw/edit?usp=sharing"",""ชัยนาท!I473"")"),0)</f>
        <v>0</v>
      </c>
      <c r="J578" s="198">
        <f ca="1">IFERROR(__xludf.DUMMYFUNCTION("IMPORTRANGE(""https://docs.google.com/spreadsheets/d/1SX6NBoVAgQJ6U1MVXOaj8PK2l7WJ3RER9xtqwdhxkhw/edit?usp=sharing"",""ชัยนาท!J473"")"),0)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IFERROR(__xludf.DUMMYFUNCTION("IMPORTRANGE(""https://docs.google.com/spreadsheets/d/1SX6NBoVAgQJ6U1MVXOaj8PK2l7WJ3RER9xtqwdhxkhw/edit?usp=sharing"",""ชัยนาท!I474"")"),0)</f>
        <v>0</v>
      </c>
      <c r="J579" s="198">
        <f ca="1">IFERROR(__xludf.DUMMYFUNCTION("IMPORTRANGE(""https://docs.google.com/spreadsheets/d/1SX6NBoVAgQJ6U1MVXOaj8PK2l7WJ3RER9xtqwdhxkhw/edit?usp=sharing"",""ชัยนาท!J474"")"),0)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IFERROR(__xludf.DUMMYFUNCTION("IMPORTRANGE(""https://docs.google.com/spreadsheets/d/1SX6NBoVAgQJ6U1MVXOaj8PK2l7WJ3RER9xtqwdhxkhw/edit?usp=sharing"",""ชัยนาท!J475"")"),2)</f>
        <v>2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IFERROR(__xludf.DUMMYFUNCTION("IMPORTRANGE(""https://docs.google.com/spreadsheets/d/1SX6NBoVAgQJ6U1MVXOaj8PK2l7WJ3RER9xtqwdhxkhw/edit?usp=sharing"",""ชัยนาท!L476"")"),0)</f>
        <v>0</v>
      </c>
      <c r="M581" s="164"/>
      <c r="N581" s="169">
        <f ca="1">IFERROR(__xludf.DUMMYFUNCTION("IMPORTRANGE(""https://docs.google.com/spreadsheets/d/1SX6NBoVAgQJ6U1MVXOaj8PK2l7WJ3RER9xtqwdhxkhw/edit?usp=sharing"",""ชัยนาท!M476"")"),0)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IFERROR(__xludf.DUMMYFUNCTION("IMPORTRANGE(""https://docs.google.com/spreadsheets/d/1SX6NBoVAgQJ6U1MVXOaj8PK2l7WJ3RER9xtqwdhxkhw/edit?usp=sharing"",""ชัยนาท!L477"")"),0)</f>
        <v>0</v>
      </c>
      <c r="M582" s="165"/>
      <c r="N582" s="169">
        <f ca="1">IFERROR(__xludf.DUMMYFUNCTION("IMPORTRANGE(""https://docs.google.com/spreadsheets/d/1SX6NBoVAgQJ6U1MVXOaj8PK2l7WJ3RER9xtqwdhxkhw/edit?usp=sharing"",""ชัยนาท!M477"")"),0)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IFERROR(__xludf.DUMMYFUNCTION("IMPORTRANGE(""https://docs.google.com/spreadsheets/d/1SX6NBoVAgQJ6U1MVXOaj8PK2l7WJ3RER9xtqwdhxkhw/edit?usp=sharing"",""ชัยนาท!L478"")"),0)</f>
        <v>0</v>
      </c>
      <c r="M583" s="169"/>
      <c r="N583" s="169">
        <f ca="1">IFERROR(__xludf.DUMMYFUNCTION("IMPORTRANGE(""https://docs.google.com/spreadsheets/d/1SX6NBoVAgQJ6U1MVXOaj8PK2l7WJ3RER9xtqwdhxkhw/edit?usp=sharing"",""ชัยนาท!M478"")"),0)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IFERROR(__xludf.DUMMYFUNCTION("IMPORTRANGE(""https://docs.google.com/spreadsheets/d/1SX6NBoVAgQJ6U1MVXOaj8PK2l7WJ3RER9xtqwdhxkhw/edit?usp=sharing"",""ชัยนาท!L479"")"),0)</f>
        <v>0</v>
      </c>
      <c r="M584" s="169"/>
      <c r="N584" s="169">
        <f ca="1">IFERROR(__xludf.DUMMYFUNCTION("IMPORTRANGE(""https://docs.google.com/spreadsheets/d/1SX6NBoVAgQJ6U1MVXOaj8PK2l7WJ3RER9xtqwdhxkhw/edit?usp=sharing"",""ชัยนาท!M479"")"),0)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IFERROR(__xludf.DUMMYFUNCTION("IMPORTRANGE(""https://docs.google.com/spreadsheets/d/1SX6NBoVAgQJ6U1MVXOaj8PK2l7WJ3RER9xtqwdhxkhw/edit?usp=sharing"",""ชัยนาท!M480"")"),0)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IFERROR(__xludf.DUMMYFUNCTION("IMPORTRANGE(""https://docs.google.com/spreadsheets/d/1SX6NBoVAgQJ6U1MVXOaj8PK2l7WJ3RER9xtqwdhxkhw/edit?usp=sharing"",""ชัยนาท!M481"")"),0)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IFERROR(__xludf.DUMMYFUNCTION("IMPORTRANGE(""https://docs.google.com/spreadsheets/d/1SX6NBoVAgQJ6U1MVXOaj8PK2l7WJ3RER9xtqwdhxkhw/edit?usp=sharing"",""ชัยนาท!M482"")"),0)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IFERROR(__xludf.DUMMYFUNCTION("IMPORTRANGE(""https://docs.google.com/spreadsheets/d/1SX6NBoVAgQJ6U1MVXOaj8PK2l7WJ3RER9xtqwdhxkhw/edit?usp=sharing"",""ชัยนาท!M483"")"),0)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IFERROR(__xludf.DUMMYFUNCTION("IMPORTRANGE(""https://docs.google.com/spreadsheets/d/1SX6NBoVAgQJ6U1MVXOaj8PK2l7WJ3RER9xtqwdhxkhw/edit?usp=sharing"",""ชัยนาท!I484"")"),0)</f>
        <v>0</v>
      </c>
      <c r="J589" s="188">
        <f ca="1">IFERROR(__xludf.DUMMYFUNCTION("IMPORTRANGE(""https://docs.google.com/spreadsheets/d/1SX6NBoVAgQJ6U1MVXOaj8PK2l7WJ3RER9xtqwdhxkhw/edit?usp=sharing"",""ชัยนาท!J484"")"),0)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8">
        <f ca="1">IFERROR(__xludf.DUMMYFUNCTION("IMPORTRANGE(""https://docs.google.com/spreadsheets/d/1SX6NBoVAgQJ6U1MVXOaj8PK2l7WJ3RER9xtqwdhxkhw/edit?usp=sharing"",""ชัยนาท!J485"")"),0)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IFERROR(__xludf.DUMMYFUNCTION("IMPORTRANGE(""https://docs.google.com/spreadsheets/d/1SX6NBoVAgQJ6U1MVXOaj8PK2l7WJ3RER9xtqwdhxkhw/edit?usp=sharing"",""ชัยนาท!I486"")"),0)</f>
        <v>0</v>
      </c>
      <c r="J591" s="188">
        <f ca="1">IFERROR(__xludf.DUMMYFUNCTION("IMPORTRANGE(""https://docs.google.com/spreadsheets/d/1SX6NBoVAgQJ6U1MVXOaj8PK2l7WJ3RER9xtqwdhxkhw/edit?usp=sharing"",""ชัยนาท!J486"")"),2)</f>
        <v>2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8">
        <f ca="1">IFERROR(__xludf.DUMMYFUNCTION("IMPORTRANGE(""https://docs.google.com/spreadsheets/d/1SX6NBoVAgQJ6U1MVXOaj8PK2l7WJ3RER9xtqwdhxkhw/edit?usp=sharing"",""ชัยนาท!J487"")"),1.42)</f>
        <v>1.42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IFERROR(__xludf.DUMMYFUNCTION("IMPORTRANGE(""https://docs.google.com/spreadsheets/d/1SX6NBoVAgQJ6U1MVXOaj8PK2l7WJ3RER9xtqwdhxkhw/edit?usp=sharing"",""ชัยนาท!I488"")"),0)</f>
        <v>0</v>
      </c>
      <c r="J593" s="188">
        <f ca="1">IFERROR(__xludf.DUMMYFUNCTION("IMPORTRANGE(""https://docs.google.com/spreadsheets/d/1SX6NBoVAgQJ6U1MVXOaj8PK2l7WJ3RER9xtqwdhxkhw/edit?usp=sharing"",""ชัยนาท!J488"")"),0)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8">
        <f ca="1">IFERROR(__xludf.DUMMYFUNCTION("IMPORTRANGE(""https://docs.google.com/spreadsheets/d/1SX6NBoVAgQJ6U1MVXOaj8PK2l7WJ3RER9xtqwdhxkhw/edit?usp=sharing"",""ชัยนาท!J489"")"),0)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IFERROR(__xludf.DUMMYFUNCTION("IMPORTRANGE(""https://docs.google.com/spreadsheets/d/1SX6NBoVAgQJ6U1MVXOaj8PK2l7WJ3RER9xtqwdhxkhw/edit?usp=sharing"",""ชัยนาท!I490"")"),0)</f>
        <v>0</v>
      </c>
      <c r="J595" s="188">
        <f ca="1">IFERROR(__xludf.DUMMYFUNCTION("IMPORTRANGE(""https://docs.google.com/spreadsheets/d/1SX6NBoVAgQJ6U1MVXOaj8PK2l7WJ3RER9xtqwdhxkhw/edit?usp=sharing"",""ชัยนาท!J490"")"),2)</f>
        <v>2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IFERROR(__xludf.DUMMYFUNCTION("IMPORTRANGE(""https://docs.google.com/spreadsheets/d/1SX6NBoVAgQJ6U1MVXOaj8PK2l7WJ3RER9xtqwdhxkhw/edit?usp=sharing"",""ชัยนาท!I491"")"),0)</f>
        <v>0</v>
      </c>
      <c r="J596" s="242">
        <f ca="1">IFERROR(__xludf.DUMMYFUNCTION("IMPORTRANGE(""https://docs.google.com/spreadsheets/d/1SX6NBoVAgQJ6U1MVXOaj8PK2l7WJ3RER9xtqwdhxkhw/edit?usp=sharing"",""ชัยนาท!J491"")"),1.42)</f>
        <v>1.42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7">
        <f ca="1">IFERROR(__xludf.DUMMYFUNCTION("IMPORTRANGE(""https://docs.google.com/spreadsheets/d/1SX6NBoVAgQJ6U1MVXOaj8PK2l7WJ3RER9xtqwdhxkhw/edit?usp=sharing"",""ชัยนาท!J492"")"),0)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IFERROR(__xludf.DUMMYFUNCTION("IMPORTRANGE(""https://docs.google.com/spreadsheets/d/1SX6NBoVAgQJ6U1MVXOaj8PK2l7WJ3RER9xtqwdhxkhw/edit?usp=sharing"",""ชัยนาท!L492"")"),4550)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IFERROR(__xludf.DUMMYFUNCTION("IMPORTRANGE(""https://docs.google.com/spreadsheets/d/1SX6NBoVAgQJ6U1MVXOaj8PK2l7WJ3RER9xtqwdhxkhw/edit?usp=sharing"",""ชัยนาท!M492"")"),3430)</f>
        <v>3430</v>
      </c>
      <c r="O597" s="412">
        <f t="shared" ref="O597:O601" ca="1" si="126">+IF(L597&gt;0,N597*100/L597,0)</f>
        <v>75.384615384615387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IFERROR(__xludf.DUMMYFUNCTION("IMPORTRANGE(""https://docs.google.com/spreadsheets/d/1SX6NBoVAgQJ6U1MVXOaj8PK2l7WJ3RER9xtqwdhxkhw/edit?usp=sharing"",""ชัยนาท!L493"")"),0)</f>
        <v>0</v>
      </c>
      <c r="M598" s="164"/>
      <c r="N598" s="169">
        <f ca="1">IFERROR(__xludf.DUMMYFUNCTION("IMPORTRANGE(""https://docs.google.com/spreadsheets/d/1SX6NBoVAgQJ6U1MVXOaj8PK2l7WJ3RER9xtqwdhxkhw/edit?usp=sharing"",""ชัยนาท!M493"")"),0)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IFERROR(__xludf.DUMMYFUNCTION("IMPORTRANGE(""https://docs.google.com/spreadsheets/d/1SX6NBoVAgQJ6U1MVXOaj8PK2l7WJ3RER9xtqwdhxkhw/edit?usp=sharing"",""ชัยนาท!L494"")"),4550)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IFERROR(__xludf.DUMMYFUNCTION("IMPORTRANGE(""https://docs.google.com/spreadsheets/d/1SX6NBoVAgQJ6U1MVXOaj8PK2l7WJ3RER9xtqwdhxkhw/edit?usp=sharing"",""ชัยนาท!M494"")"),3430)</f>
        <v>3430</v>
      </c>
      <c r="O599" s="169">
        <f t="shared" ca="1" si="126"/>
        <v>75.384615384615387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IFERROR(__xludf.DUMMYFUNCTION("IMPORTRANGE(""https://docs.google.com/spreadsheets/d/1SX6NBoVAgQJ6U1MVXOaj8PK2l7WJ3RER9xtqwdhxkhw/edit?usp=sharing"",""ชัยนาท!L495"")"),0)</f>
        <v>0</v>
      </c>
      <c r="M600" s="169"/>
      <c r="N600" s="169">
        <f ca="1">IFERROR(__xludf.DUMMYFUNCTION("IMPORTRANGE(""https://docs.google.com/spreadsheets/d/1SX6NBoVAgQJ6U1MVXOaj8PK2l7WJ3RER9xtqwdhxkhw/edit?usp=sharing"",""ชัยนาท!M495"")"),0)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IFERROR(__xludf.DUMMYFUNCTION("IMPORTRANGE(""https://docs.google.com/spreadsheets/d/1SX6NBoVAgQJ6U1MVXOaj8PK2l7WJ3RER9xtqwdhxkhw/edit?usp=sharing"",""ชัยนาท!L496"")"),4550)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IFERROR(__xludf.DUMMYFUNCTION("IMPORTRANGE(""https://docs.google.com/spreadsheets/d/1SX6NBoVAgQJ6U1MVXOaj8PK2l7WJ3RER9xtqwdhxkhw/edit?usp=sharing"",""ชัยนาท!M496"")"),3430)</f>
        <v>3430</v>
      </c>
      <c r="O601" s="169">
        <f t="shared" ca="1" si="126"/>
        <v>75.384615384615387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IFERROR(__xludf.DUMMYFUNCTION("IMPORTRANGE(""https://docs.google.com/spreadsheets/d/1SX6NBoVAgQJ6U1MVXOaj8PK2l7WJ3RER9xtqwdhxkhw/edit?usp=sharing"",""ชัยนาท!M497"")"),0)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IFERROR(__xludf.DUMMYFUNCTION("IMPORTRANGE(""https://docs.google.com/spreadsheets/d/1SX6NBoVAgQJ6U1MVXOaj8PK2l7WJ3RER9xtqwdhxkhw/edit?usp=sharing"",""ชัยนาท!M498"")"),0)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IFERROR(__xludf.DUMMYFUNCTION("IMPORTRANGE(""https://docs.google.com/spreadsheets/d/1SX6NBoVAgQJ6U1MVXOaj8PK2l7WJ3RER9xtqwdhxkhw/edit?usp=sharing"",""ชัยนาท!M500"")"),3430)</f>
        <v>3430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IFERROR(__xludf.DUMMYFUNCTION("IMPORTRANGE(""https://docs.google.com/spreadsheets/d/1SX6NBoVAgQJ6U1MVXOaj8PK2l7WJ3RER9xtqwdhxkhw/edit?usp=sharing"",""ชัยนาท!J502"")"),0)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IFERROR(__xludf.DUMMYFUNCTION("IMPORTRANGE(""https://docs.google.com/spreadsheets/d/1SX6NBoVAgQJ6U1MVXOaj8PK2l7WJ3RER9xtqwdhxkhw/edit?usp=sharing"",""ชัยนาท!J503"")"),1)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IFERROR(__xludf.DUMMYFUNCTION("IMPORTRANGE(""https://docs.google.com/spreadsheets/d/1SX6NBoVAgQJ6U1MVXOaj8PK2l7WJ3RER9xtqwdhxkhw/edit?usp=sharing"",""ชัยนาท!J166"")"),0)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IFERROR(__xludf.DUMMYFUNCTION("IMPORTRANGE(""https://docs.google.com/spreadsheets/d/1SX6NBoVAgQJ6U1MVXOaj8PK2l7WJ3RER9xtqwdhxkhw/edit?usp=sharing"",""ชัยนาท!J166"")"),0)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IFERROR(__xludf.DUMMYFUNCTION("IMPORTRANGE(""https://docs.google.com/spreadsheets/d/1SX6NBoVAgQJ6U1MVXOaj8PK2l7WJ3RER9xtqwdhxkhw/edit?usp=sharing"",""ชัยนาท!I506"")"),50)</f>
        <v>50</v>
      </c>
      <c r="J611" s="162">
        <f ca="1">IFERROR(__xludf.DUMMYFUNCTION("IMPORTRANGE(""https://docs.google.com/spreadsheets/d/1SX6NBoVAgQJ6U1MVXOaj8PK2l7WJ3RER9xtqwdhxkhw/edit?usp=sharing"",""ชัยนาท!J506"")"),0)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IFERROR(__xludf.DUMMYFUNCTION("IMPORTRANGE(""https://docs.google.com/spreadsheets/d/1SX6NBoVAgQJ6U1MVXOaj8PK2l7WJ3RER9xtqwdhxkhw/edit?usp=sharing"",""ชัยนาท!I507"")"),0)</f>
        <v>0</v>
      </c>
      <c r="J612" s="198">
        <f ca="1">IFERROR(__xludf.DUMMYFUNCTION("IMPORTRANGE(""https://docs.google.com/spreadsheets/d/1SX6NBoVAgQJ6U1MVXOaj8PK2l7WJ3RER9xtqwdhxkhw/edit?usp=sharing"",""ชัยนาท!J507"")"),86)</f>
        <v>86</v>
      </c>
      <c r="K612" s="163">
        <f t="shared" ca="1" si="127"/>
        <v>172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IFERROR(__xludf.DUMMYFUNCTION("IMPORTRANGE(""https://docs.google.com/spreadsheets/d/1SX6NBoVAgQJ6U1MVXOaj8PK2l7WJ3RER9xtqwdhxkhw/edit?usp=sharing"",""ชัยนาท!I508"")"),0)</f>
        <v>0</v>
      </c>
      <c r="J613" s="198">
        <f ca="1">IFERROR(__xludf.DUMMYFUNCTION("IMPORTRANGE(""https://docs.google.com/spreadsheets/d/1SX6NBoVAgQJ6U1MVXOaj8PK2l7WJ3RER9xtqwdhxkhw/edit?usp=sharing"",""ชัยนาท!J508"")"),86)</f>
        <v>86</v>
      </c>
      <c r="K613" s="163">
        <f t="shared" ca="1" si="127"/>
        <v>172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IFERROR(__xludf.DUMMYFUNCTION("IMPORTRANGE(""https://docs.google.com/spreadsheets/d/1SX6NBoVAgQJ6U1MVXOaj8PK2l7WJ3RER9xtqwdhxkhw/edit?usp=sharing"",""ชัยนาท!I509"")"),0)</f>
        <v>0</v>
      </c>
      <c r="J614" s="198">
        <f ca="1">IFERROR(__xludf.DUMMYFUNCTION("IMPORTRANGE(""https://docs.google.com/spreadsheets/d/1SX6NBoVAgQJ6U1MVXOaj8PK2l7WJ3RER9xtqwdhxkhw/edit?usp=sharing"",""ชัยนาท!J509"")"),70)</f>
        <v>70</v>
      </c>
      <c r="K614" s="163">
        <f t="shared" ca="1" si="127"/>
        <v>140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IFERROR(__xludf.DUMMYFUNCTION("IMPORTRANGE(""https://docs.google.com/spreadsheets/d/1SX6NBoVAgQJ6U1MVXOaj8PK2l7WJ3RER9xtqwdhxkhw/edit?usp=sharing"",""ชัยนาท!I510"")"),0)</f>
        <v>0</v>
      </c>
      <c r="J615" s="198">
        <f ca="1">IFERROR(__xludf.DUMMYFUNCTION("IMPORTRANGE(""https://docs.google.com/spreadsheets/d/1SX6NBoVAgQJ6U1MVXOaj8PK2l7WJ3RER9xtqwdhxkhw/edit?usp=sharing"",""ชัยนาท!J510"")"),70)</f>
        <v>70</v>
      </c>
      <c r="K615" s="163">
        <f t="shared" ca="1" si="127"/>
        <v>140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IFERROR(__xludf.DUMMYFUNCTION("IMPORTRANGE(""https://docs.google.com/spreadsheets/d/1SX6NBoVAgQJ6U1MVXOaj8PK2l7WJ3RER9xtqwdhxkhw/edit?usp=sharing"",""ชัยนาท!I511"")"),0)</f>
        <v>0</v>
      </c>
      <c r="J616" s="198">
        <f ca="1">IFERROR(__xludf.DUMMYFUNCTION("IMPORTRANGE(""https://docs.google.com/spreadsheets/d/1SX6NBoVAgQJ6U1MVXOaj8PK2l7WJ3RER9xtqwdhxkhw/edit?usp=sharing"",""ชัยนาท!J511"")"),70)</f>
        <v>70</v>
      </c>
      <c r="K616" s="163">
        <f t="shared" ca="1" si="127"/>
        <v>140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IFERROR(__xludf.DUMMYFUNCTION("IMPORTRANGE(""https://docs.google.com/spreadsheets/d/1SX6NBoVAgQJ6U1MVXOaj8PK2l7WJ3RER9xtqwdhxkhw/edit?usp=sharing"",""ชัยนาท!I512"")"),0)</f>
        <v>0</v>
      </c>
      <c r="J617" s="188">
        <f ca="1">IFERROR(__xludf.DUMMYFUNCTION("IMPORTRANGE(""https://docs.google.com/spreadsheets/d/1SX6NBoVAgQJ6U1MVXOaj8PK2l7WJ3RER9xtqwdhxkhw/edit?usp=sharing"",""ชัยนาท!J512"")"),0)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IFERROR(__xludf.DUMMYFUNCTION("IMPORTRANGE(""https://docs.google.com/spreadsheets/d/1SX6NBoVAgQJ6U1MVXOaj8PK2l7WJ3RER9xtqwdhxkhw/edit?usp=sharing"",""ชัยนาท!I513"")"),0)</f>
        <v>0</v>
      </c>
      <c r="J618" s="189">
        <f ca="1">IFERROR(__xludf.DUMMYFUNCTION("IMPORTRANGE(""https://docs.google.com/spreadsheets/d/1SX6NBoVAgQJ6U1MVXOaj8PK2l7WJ3RER9xtqwdhxkhw/edit?usp=sharing"",""ชัยนาท!J513"")"),0)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IFERROR(__xludf.DUMMYFUNCTION("IMPORTRANGE(""https://docs.google.com/spreadsheets/d/1SX6NBoVAgQJ6U1MVXOaj8PK2l7WJ3RER9xtqwdhxkhw/edit?usp=sharing"",""ชัยนาท!I514"")"),0)</f>
        <v>0</v>
      </c>
      <c r="J619" s="189">
        <f ca="1">IFERROR(__xludf.DUMMYFUNCTION("IMPORTRANGE(""https://docs.google.com/spreadsheets/d/1SX6NBoVAgQJ6U1MVXOaj8PK2l7WJ3RER9xtqwdhxkhw/edit?usp=sharing"",""ชัยนาท!J514"")"),0)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IFERROR(__xludf.DUMMYFUNCTION("IMPORTRANGE(""https://docs.google.com/spreadsheets/d/1SX6NBoVAgQJ6U1MVXOaj8PK2l7WJ3RER9xtqwdhxkhw/edit?usp=sharing"",""ชัยนาท!I515"")"),0)</f>
        <v>0</v>
      </c>
      <c r="J620" s="203">
        <f ca="1">IFERROR(__xludf.DUMMYFUNCTION("IMPORTRANGE(""https://docs.google.com/spreadsheets/d/1SX6NBoVAgQJ6U1MVXOaj8PK2l7WJ3RER9xtqwdhxkhw/edit?usp=sharing"",""ชัยนาท!J515"")"),0)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IFERROR(__xludf.DUMMYFUNCTION("IMPORTRANGE(""https://docs.google.com/spreadsheets/d/1SX6NBoVAgQJ6U1MVXOaj8PK2l7WJ3RER9xtqwdhxkhw/edit?usp=sharing"",""ชัยนาท!I516"")"),0)</f>
        <v>0</v>
      </c>
      <c r="J621" s="203">
        <f ca="1">IFERROR(__xludf.DUMMYFUNCTION("IMPORTRANGE(""https://docs.google.com/spreadsheets/d/1SX6NBoVAgQJ6U1MVXOaj8PK2l7WJ3RER9xtqwdhxkhw/edit?usp=sharing"",""ชัยนาท!J516"")"),0)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IFERROR(__xludf.DUMMYFUNCTION("IMPORTRANGE(""https://docs.google.com/spreadsheets/d/1SX6NBoVAgQJ6U1MVXOaj8PK2l7WJ3RER9xtqwdhxkhw/edit?usp=sharing"",""ชัยนาท!I517"")"),0)</f>
        <v>0</v>
      </c>
      <c r="J622" s="189">
        <f ca="1">IFERROR(__xludf.DUMMYFUNCTION("IMPORTRANGE(""https://docs.google.com/spreadsheets/d/1SX6NBoVAgQJ6U1MVXOaj8PK2l7WJ3RER9xtqwdhxkhw/edit?usp=sharing"",""ชัยนาท!J517"")"),0)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IFERROR(__xludf.DUMMYFUNCTION("IMPORTRANGE(""https://docs.google.com/spreadsheets/d/1SX6NBoVAgQJ6U1MVXOaj8PK2l7WJ3RER9xtqwdhxkhw/edit?usp=sharing"",""ชัยนาท!I518"")"),0)</f>
        <v>0</v>
      </c>
      <c r="J623" s="189">
        <f ca="1">IFERROR(__xludf.DUMMYFUNCTION("IMPORTRANGE(""https://docs.google.com/spreadsheets/d/1SX6NBoVAgQJ6U1MVXOaj8PK2l7WJ3RER9xtqwdhxkhw/edit?usp=sharing"",""ชัยนาท!J518"")"),0)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IFERROR(__xludf.DUMMYFUNCTION("IMPORTRANGE(""https://docs.google.com/spreadsheets/d/1SX6NBoVAgQJ6U1MVXOaj8PK2l7WJ3RER9xtqwdhxkhw/edit?usp=sharing"",""ชัยนาท!I519"")"),0)</f>
        <v>0</v>
      </c>
      <c r="J624" s="188">
        <f ca="1">IFERROR(__xludf.DUMMYFUNCTION("IMPORTRANGE(""https://docs.google.com/spreadsheets/d/1SX6NBoVAgQJ6U1MVXOaj8PK2l7WJ3RER9xtqwdhxkhw/edit?usp=sharing"",""ชัยนาท!J519"")"),0)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IFERROR(__xludf.DUMMYFUNCTION("IMPORTRANGE(""https://docs.google.com/spreadsheets/d/1SX6NBoVAgQJ6U1MVXOaj8PK2l7WJ3RER9xtqwdhxkhw/edit?usp=sharing"",""ชัยนาท!I520"")"),0)</f>
        <v>0</v>
      </c>
      <c r="J625" s="189">
        <f ca="1">IFERROR(__xludf.DUMMYFUNCTION("IMPORTRANGE(""https://docs.google.com/spreadsheets/d/1SX6NBoVAgQJ6U1MVXOaj8PK2l7WJ3RER9xtqwdhxkhw/edit?usp=sharing"",""ชัยนาท!J520"")"),0)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IFERROR(__xludf.DUMMYFUNCTION("IMPORTRANGE(""https://docs.google.com/spreadsheets/d/1SX6NBoVAgQJ6U1MVXOaj8PK2l7WJ3RER9xtqwdhxkhw/edit?usp=sharing"",""ชัยนาท!I521"")"),0)</f>
        <v>0</v>
      </c>
      <c r="J626" s="189">
        <f ca="1">IFERROR(__xludf.DUMMYFUNCTION("IMPORTRANGE(""https://docs.google.com/spreadsheets/d/1SX6NBoVAgQJ6U1MVXOaj8PK2l7WJ3RER9xtqwdhxkhw/edit?usp=sharing"",""ชัยนาท!J521"")"),0)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IFERROR(__xludf.DUMMYFUNCTION("IMPORTRANGE(""https://docs.google.com/spreadsheets/d/1SX6NBoVAgQJ6U1MVXOaj8PK2l7WJ3RER9xtqwdhxkhw/edit?usp=sharing"",""ชัยนาท!I523"")"),1783436.63)</f>
        <v>1783436.63</v>
      </c>
      <c r="J628" s="342">
        <f ca="1">IFERROR(__xludf.DUMMYFUNCTION("IMPORTRANGE(""https://docs.google.com/spreadsheets/d/1SX6NBoVAgQJ6U1MVXOaj8PK2l7WJ3RER9xtqwdhxkhw/edit?usp=sharing"",""ชัยนาท!J523"")"),1464808.04)</f>
        <v>1464808.04</v>
      </c>
      <c r="K628" s="343">
        <f t="shared" ref="K628:K635" ca="1" si="129">IF(I628&gt;0,J628*100/I628,0)</f>
        <v>82.134011119868049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IFERROR(__xludf.DUMMYFUNCTION("IMPORTRANGE(""https://docs.google.com/spreadsheets/d/1SX6NBoVAgQJ6U1MVXOaj8PK2l7WJ3RER9xtqwdhxkhw/edit?usp=sharing"",""ชัยนาท!I524"")"),141)</f>
        <v>141</v>
      </c>
      <c r="J629" s="342">
        <f ca="1">IFERROR(__xludf.DUMMYFUNCTION("IMPORTRANGE(""https://docs.google.com/spreadsheets/d/1SX6NBoVAgQJ6U1MVXOaj8PK2l7WJ3RER9xtqwdhxkhw/edit?usp=sharing"",""ชัยนาท!J524"")"),119)</f>
        <v>119</v>
      </c>
      <c r="K629" s="343">
        <f t="shared" ca="1" si="129"/>
        <v>84.39716312056737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2">
        <f ca="1">IFERROR(__xludf.DUMMYFUNCTION("IMPORTRANGE(""https://docs.google.com/spreadsheets/d/1SX6NBoVAgQJ6U1MVXOaj8PK2l7WJ3RER9xtqwdhxkhw/edit?usp=sharing"",""ชัยนาท!J525"")"),1247252.02)</f>
        <v>1247252.02</v>
      </c>
      <c r="K630" s="343">
        <f t="shared" ca="1" si="129"/>
        <v>19.262971769588766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IFERROR(__xludf.DUMMYFUNCTION("IMPORTRANGE(""https://docs.google.com/spreadsheets/d/1SX6NBoVAgQJ6U1MVXOaj8PK2l7WJ3RER9xtqwdhxkhw/edit?usp=sharing"",""ชัยนาท!I526"")"),297)</f>
        <v>297</v>
      </c>
      <c r="J631" s="342">
        <f ca="1">IFERROR(__xludf.DUMMYFUNCTION("IMPORTRANGE(""https://docs.google.com/spreadsheets/d/1SX6NBoVAgQJ6U1MVXOaj8PK2l7WJ3RER9xtqwdhxkhw/edit?usp=sharing"",""ชัยนาท!J526"")"),145)</f>
        <v>145</v>
      </c>
      <c r="K631" s="343">
        <f t="shared" ca="1" si="129"/>
        <v>48.821548821548824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2">
        <f ca="1">IFERROR(__xludf.DUMMYFUNCTION("IMPORTRANGE(""https://docs.google.com/spreadsheets/d/1SX6NBoVAgQJ6U1MVXOaj8PK2l7WJ3RER9xtqwdhxkhw/edit?usp=sharing"",""ชัยนาท!J527"")"),1898483.13)</f>
        <v>1898483.13</v>
      </c>
      <c r="K632" s="343">
        <f t="shared" ca="1" si="129"/>
        <v>15.215120323230467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IFERROR(__xludf.DUMMYFUNCTION("IMPORTRANGE(""https://docs.google.com/spreadsheets/d/1SX6NBoVAgQJ6U1MVXOaj8PK2l7WJ3RER9xtqwdhxkhw/edit?usp=sharing"",""ชัยนาท!I528"")"),351)</f>
        <v>351</v>
      </c>
      <c r="J633" s="342">
        <f ca="1">IFERROR(__xludf.DUMMYFUNCTION("IMPORTRANGE(""https://docs.google.com/spreadsheets/d/1SX6NBoVAgQJ6U1MVXOaj8PK2l7WJ3RER9xtqwdhxkhw/edit?usp=sharing"",""ชัยนาท!J528"")"),211)</f>
        <v>211</v>
      </c>
      <c r="K633" s="343">
        <f t="shared" ca="1" si="129"/>
        <v>60.113960113960111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IFERROR(__xludf.DUMMYFUNCTION("IMPORTRANGE(""https://docs.google.com/spreadsheets/d/1SX6NBoVAgQJ6U1MVXOaj8PK2l7WJ3RER9xtqwdhxkhw/edit?usp=sharing"",""ชัยนาท!I529"")"),4700000)</f>
        <v>4700000</v>
      </c>
      <c r="J634" s="342">
        <f ca="1">IFERROR(__xludf.DUMMYFUNCTION("IMPORTRANGE(""https://docs.google.com/spreadsheets/d/1SX6NBoVAgQJ6U1MVXOaj8PK2l7WJ3RER9xtqwdhxkhw/edit?usp=sharing"",""ชัยนาท!J529"")"),2890000)</f>
        <v>2890000</v>
      </c>
      <c r="K634" s="343">
        <f t="shared" ca="1" si="129"/>
        <v>61.48936170212766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IFERROR(__xludf.DUMMYFUNCTION("IMPORTRANGE(""https://docs.google.com/spreadsheets/d/1SX6NBoVAgQJ6U1MVXOaj8PK2l7WJ3RER9xtqwdhxkhw/edit?usp=sharing"",""ชัยนาท!I530"")"),200)</f>
        <v>200</v>
      </c>
      <c r="J635" s="504">
        <f ca="1">IFERROR(__xludf.DUMMYFUNCTION("IMPORTRANGE(""https://docs.google.com/spreadsheets/d/1SX6NBoVAgQJ6U1MVXOaj8PK2l7WJ3RER9xtqwdhxkhw/edit?usp=sharing"",""ชัยนาท!J530"")"),68)</f>
        <v>68</v>
      </c>
      <c r="K635" s="486">
        <f t="shared" ca="1" si="129"/>
        <v>34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6640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6640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6640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IFERROR(__xludf.DUMMYFUNCTION("IMPORTRANGE(""https://docs.google.com/spreadsheets/d/1SX6NBoVAgQJ6U1MVXOaj8PK2l7WJ3RER9xtqwdhxkhw/edit#gid=346597447"",""ชัยนาท!J541"")"),0)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IFERROR(__xludf.DUMMYFUNCTION("IMPORTRANGE(""https://docs.google.com/spreadsheets/d/1SX6NBoVAgQJ6U1MVXOaj8PK2l7WJ3RER9xtqwdhxkhw/edit#gid=346597447"",""ชัยนาท!J542"")"),0)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IFERROR(__xludf.DUMMYFUNCTION("IMPORTRANGE(""https://docs.google.com/spreadsheets/d/1SX6NBoVAgQJ6U1MVXOaj8PK2l7WJ3RER9xtqwdhxkhw/edit#gid=346597447"",""ชัยนาท!I543"")"),0)</f>
        <v>0</v>
      </c>
      <c r="J648" s="536">
        <f ca="1">IFERROR(__xludf.DUMMYFUNCTION("IMPORTRANGE(""https://docs.google.com/spreadsheets/d/1SX6NBoVAgQJ6U1MVXOaj8PK2l7WJ3RER9xtqwdhxkhw/edit#gid=346597447"",""ชัยนาท!J543"")"),0)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IFERROR(__xludf.DUMMYFUNCTION("IMPORTRANGE(""https://docs.google.com/spreadsheets/d/1SX6NBoVAgQJ6U1MVXOaj8PK2l7WJ3RER9xtqwdhxkhw/edit#gid=346597447"",""ชัยนาท!L543"")"),0)</f>
        <v>0</v>
      </c>
      <c r="M648" s="521"/>
      <c r="N648" s="538">
        <f ca="1">IFERROR(__xludf.DUMMYFUNCTION("IMPORTRANGE(""https://docs.google.com/spreadsheets/d/1SX6NBoVAgQJ6U1MVXOaj8PK2l7WJ3RER9xtqwdhxkhw/edit#gid=346597447"",""ชัยนาท!M543"")"),0)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IFERROR(__xludf.DUMMYFUNCTION("IMPORTRANGE(""https://docs.google.com/spreadsheets/d/1SX6NBoVAgQJ6U1MVXOaj8PK2l7WJ3RER9xtqwdhxkhw/edit#gid=346597447"",""ชัยนาท!I544"")"),2)</f>
        <v>2</v>
      </c>
      <c r="J649" s="536">
        <f ca="1">IFERROR(__xludf.DUMMYFUNCTION("IMPORTRANGE(""https://docs.google.com/spreadsheets/d/1SX6NBoVAgQJ6U1MVXOaj8PK2l7WJ3RER9xtqwdhxkhw/edit#gid=346597447"",""ชัยนาท!J544"")"),0)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IFERROR(__xludf.DUMMYFUNCTION("IMPORTRANGE(""https://docs.google.com/spreadsheets/d/1SX6NBoVAgQJ6U1MVXOaj8PK2l7WJ3RER9xtqwdhxkhw/edit#gid=346597447"",""ชัยนาท!L544"")"),240)</f>
        <v>240</v>
      </c>
      <c r="M649" s="521"/>
      <c r="N649" s="538">
        <f ca="1">IFERROR(__xludf.DUMMYFUNCTION("IMPORTRANGE(""https://docs.google.com/spreadsheets/d/1SX6NBoVAgQJ6U1MVXOaj8PK2l7WJ3RER9xtqwdhxkhw/edit#gid=346597447"",""ชัยนาท!M544"")"),0)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IFERROR(__xludf.DUMMYFUNCTION("IMPORTRANGE(""https://docs.google.com/spreadsheets/d/1SX6NBoVAgQJ6U1MVXOaj8PK2l7WJ3RER9xtqwdhxkhw/edit#gid=346597447"",""ชัยนาท!I545"")"),80)</f>
        <v>80</v>
      </c>
      <c r="J650" s="536">
        <f ca="1">IFERROR(__xludf.DUMMYFUNCTION("IMPORTRANGE(""https://docs.google.com/spreadsheets/d/1SX6NBoVAgQJ6U1MVXOaj8PK2l7WJ3RER9xtqwdhxkhw/edit#gid=346597447"",""ชัยนาท!J545"")"),0)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IFERROR(__xludf.DUMMYFUNCTION("IMPORTRANGE(""https://docs.google.com/spreadsheets/d/1SX6NBoVAgQJ6U1MVXOaj8PK2l7WJ3RER9xtqwdhxkhw/edit#gid=346597447"",""ชัยนาท!L545"")"),400)</f>
        <v>400</v>
      </c>
      <c r="M650" s="521"/>
      <c r="N650" s="538">
        <f ca="1">IFERROR(__xludf.DUMMYFUNCTION("IMPORTRANGE(""https://docs.google.com/spreadsheets/d/1SX6NBoVAgQJ6U1MVXOaj8PK2l7WJ3RER9xtqwdhxkhw/edit#gid=346597447"",""ชัยนาท!M545"")"),0)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IFERROR(__xludf.DUMMYFUNCTION("IMPORTRANGE(""https://docs.google.com/spreadsheets/d/1SX6NBoVAgQJ6U1MVXOaj8PK2l7WJ3RER9xtqwdhxkhw/edit#gid=346597447"",""ชัยนาท!I546"")"),0)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IFERROR(__xludf.DUMMYFUNCTION("IMPORTRANGE(""https://docs.google.com/spreadsheets/d/1SX6NBoVAgQJ6U1MVXOaj8PK2l7WJ3RER9xtqwdhxkhw/edit#gid=346597447"",""ชัยนาท!L546"")"),0)</f>
        <v>0</v>
      </c>
      <c r="M651" s="521"/>
      <c r="N651" s="538">
        <f ca="1">IFERROR(__xludf.DUMMYFUNCTION("IMPORTRANGE(""https://docs.google.com/spreadsheets/d/1SX6NBoVAgQJ6U1MVXOaj8PK2l7WJ3RER9xtqwdhxkhw/edit#gid=346597447"",""ชัยนาท!M546"")"),0)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IFERROR(__xludf.DUMMYFUNCTION("IMPORTRANGE(""https://docs.google.com/spreadsheets/d/1SX6NBoVAgQJ6U1MVXOaj8PK2l7WJ3RER9xtqwdhxkhw/edit#gid=346597447"",""ชัยนาท!J547"")"),0)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IFERROR(__xludf.DUMMYFUNCTION("IMPORTRANGE(""https://docs.google.com/spreadsheets/d/1SX6NBoVAgQJ6U1MVXOaj8PK2l7WJ3RER9xtqwdhxkhw/edit#gid=346597447"",""ชัยนาท!J548"")"),0)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IFERROR(__xludf.DUMMYFUNCTION("IMPORTRANGE(""https://docs.google.com/spreadsheets/d/1SX6NBoVAgQJ6U1MVXOaj8PK2l7WJ3RER9xtqwdhxkhw/edit#gid=346597447"",""ชัยนาท!J550"")"),0)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IFERROR(__xludf.DUMMYFUNCTION("IMPORTRANGE(""https://docs.google.com/spreadsheets/d/1SX6NBoVAgQJ6U1MVXOaj8PK2l7WJ3RER9xtqwdhxkhw/edit#gid=346597447"",""ชัยนาท!J551"")"),0)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IFERROR(__xludf.DUMMYFUNCTION("IMPORTRANGE(""https://docs.google.com/spreadsheets/d/1SX6NBoVAgQJ6U1MVXOaj8PK2l7WJ3RER9xtqwdhxkhw/edit#gid=346597447"",""ชัยนาท!J552"")"),0)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IFERROR(__xludf.DUMMYFUNCTION("IMPORTRANGE(""https://docs.google.com/spreadsheets/d/1SX6NBoVAgQJ6U1MVXOaj8PK2l7WJ3RER9xtqwdhxkhw/edit#gid=346597447"",""ชัยนาท!J553"")"),0)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IFERROR(__xludf.DUMMYFUNCTION("IMPORTRANGE(""https://docs.google.com/spreadsheets/d/1SX6NBoVAgQJ6U1MVXOaj8PK2l7WJ3RER9xtqwdhxkhw/edit#gid=346597447"",""ชัยนาท!J554"")"),0)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IFERROR(__xludf.DUMMYFUNCTION("IMPORTRANGE(""https://docs.google.com/spreadsheets/d/1SX6NBoVAgQJ6U1MVXOaj8PK2l7WJ3RER9xtqwdhxkhw/edit#gid=346597447"",""ชัยนาท!J555"")"),0)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IFERROR(__xludf.DUMMYFUNCTION("IMPORTRANGE(""https://docs.google.com/spreadsheets/d/1SX6NBoVAgQJ6U1MVXOaj8PK2l7WJ3RER9xtqwdhxkhw/edit#gid=346597447"",""ชัยนาท!J556"")"),0)</f>
        <v>0</v>
      </c>
      <c r="K661" s="537"/>
      <c r="L661" s="522">
        <f ca="1">IFERROR(__xludf.DUMMYFUNCTION("IMPORTRANGE(""https://docs.google.com/spreadsheets/d/1SX6NBoVAgQJ6U1MVXOaj8PK2l7WJ3RER9xtqwdhxkhw/edit#gid=346597447"",""ชัยนาท!L556"")"),4000)</f>
        <v>4000</v>
      </c>
      <c r="M661" s="521"/>
      <c r="N661" s="538">
        <f ca="1">IFERROR(__xludf.DUMMYFUNCTION("IMPORTRANGE(""https://docs.google.com/spreadsheets/d/1SX6NBoVAgQJ6U1MVXOaj8PK2l7WJ3RER9xtqwdhxkhw/edit#gid=346597447"",""ชัยนาท!M556"")"),0)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IFERROR(__xludf.DUMMYFUNCTION("IMPORTRANGE(""https://docs.google.com/spreadsheets/d/1SX6NBoVAgQJ6U1MVXOaj8PK2l7WJ3RER9xtqwdhxkhw/edit#gid=346597447"",""ชัยนาท!J557"")"),0)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IFERROR(__xludf.DUMMYFUNCTION("IMPORTRANGE(""https://docs.google.com/spreadsheets/d/1SX6NBoVAgQJ6U1MVXOaj8PK2l7WJ3RER9xtqwdhxkhw/edit#gid=346597447"",""ชัยนาท!I558"")"),100)</f>
        <v>100</v>
      </c>
      <c r="J663" s="536">
        <f ca="1">IFERROR(__xludf.DUMMYFUNCTION("IMPORTRANGE(""https://docs.google.com/spreadsheets/d/1SX6NBoVAgQJ6U1MVXOaj8PK2l7WJ3RER9xtqwdhxkhw/edit#gid=346597447"",""ชัยนาท!J558"")"),0)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IFERROR(__xludf.DUMMYFUNCTION("IMPORTRANGE(""https://docs.google.com/spreadsheets/d/1SX6NBoVAgQJ6U1MVXOaj8PK2l7WJ3RER9xtqwdhxkhw/edit#gid=346597447"",""ชัยนาท!I560"")"),10)</f>
        <v>10</v>
      </c>
      <c r="J665" s="536">
        <f ca="1">IFERROR(__xludf.DUMMYFUNCTION("IMPORTRANGE(""https://docs.google.com/spreadsheets/d/1SX6NBoVAgQJ6U1MVXOaj8PK2l7WJ3RER9xtqwdhxkhw/edit#gid=346597447"",""ชัยนาท!J560"")"),0)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IFERROR(__xludf.DUMMYFUNCTION("IMPORTRANGE(""https://docs.google.com/spreadsheets/d/1SX6NBoVAgQJ6U1MVXOaj8PK2l7WJ3RER9xtqwdhxkhw/edit#gid=346597447"",""ชัยนาท!L560"")"),1200)</f>
        <v>1200</v>
      </c>
      <c r="M665" s="521"/>
      <c r="N665" s="538">
        <f ca="1">IFERROR(__xludf.DUMMYFUNCTION("IMPORTRANGE(""https://docs.google.com/spreadsheets/d/1SX6NBoVAgQJ6U1MVXOaj8PK2l7WJ3RER9xtqwdhxkhw/edit#gid=346597447"",""ชัยนาท!M560"")"),0)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IFERROR(__xludf.DUMMYFUNCTION("IMPORTRANGE(""https://docs.google.com/spreadsheets/d/1SX6NBoVAgQJ6U1MVXOaj8PK2l7WJ3RER9xtqwdhxkhw/edit#gid=346597447"",""ชัยนาท!J561"")"),0)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IFERROR(__xludf.DUMMYFUNCTION("IMPORTRANGE(""https://docs.google.com/spreadsheets/d/1SX6NBoVAgQJ6U1MVXOaj8PK2l7WJ3RER9xtqwdhxkhw/edit#gid=346597447"",""ชัยนาท!J562"")"),0)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IFERROR(__xludf.DUMMYFUNCTION("IMPORTRANGE(""https://docs.google.com/spreadsheets/d/1SX6NBoVAgQJ6U1MVXOaj8PK2l7WJ3RER9xtqwdhxkhw/edit#gid=346597447"",""ชัยนาท!I563"")"),0)</f>
        <v>0</v>
      </c>
      <c r="J668" s="536">
        <f ca="1">IFERROR(__xludf.DUMMYFUNCTION("IMPORTRANGE(""https://docs.google.com/spreadsheets/d/1SX6NBoVAgQJ6U1MVXOaj8PK2l7WJ3RER9xtqwdhxkhw/edit#gid=346597447"",""ชัยนาท!J563"")"),0)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IFERROR(__xludf.DUMMYFUNCTION("IMPORTRANGE(""https://docs.google.com/spreadsheets/d/1SX6NBoVAgQJ6U1MVXOaj8PK2l7WJ3RER9xtqwdhxkhw/edit#gid=346597447"",""ชัยนาท!L563"")"),0)</f>
        <v>0</v>
      </c>
      <c r="M668" s="521"/>
      <c r="N668" s="538">
        <f ca="1">IFERROR(__xludf.DUMMYFUNCTION("IMPORTRANGE(""https://docs.google.com/spreadsheets/d/1SX6NBoVAgQJ6U1MVXOaj8PK2l7WJ3RER9xtqwdhxkhw/edit#gid=346597447"",""ชัยนาท!M563"")"),0)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IFERROR(__xludf.DUMMYFUNCTION("IMPORTRANGE(""https://docs.google.com/spreadsheets/d/1SX6NBoVAgQJ6U1MVXOaj8PK2l7WJ3RER9xtqwdhxkhw/edit#gid=346597447"",""ชัยนาท!J564"")"),0)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IFERROR(__xludf.DUMMYFUNCTION("IMPORTRANGE(""https://docs.google.com/spreadsheets/d/1SX6NBoVAgQJ6U1MVXOaj8PK2l7WJ3RER9xtqwdhxkhw/edit#gid=346597447"",""ชัยนาท!J565"")"),0)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IFERROR(__xludf.DUMMYFUNCTION("IMPORTRANGE(""https://docs.google.com/spreadsheets/d/1SX6NBoVAgQJ6U1MVXOaj8PK2l7WJ3RER9xtqwdhxkhw/edit#gid=346597447"",""ชัยนาท!I566"")"),10)</f>
        <v>10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IFERROR(__xludf.DUMMYFUNCTION("IMPORTRANGE(""https://docs.google.com/spreadsheets/d/1SX6NBoVAgQJ6U1MVXOaj8PK2l7WJ3RER9xtqwdhxkhw/edit#gid=346597447"",""ชัยนาท!L566"")"),800)</f>
        <v>800</v>
      </c>
      <c r="M671" s="521"/>
      <c r="N671" s="538">
        <f ca="1">IFERROR(__xludf.DUMMYFUNCTION("IMPORTRANGE(""https://docs.google.com/spreadsheets/d/1SX6NBoVAgQJ6U1MVXOaj8PK2l7WJ3RER9xtqwdhxkhw/edit#gid=346597447"",""ชัยนาท!M566"")"),0)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IFERROR(__xludf.DUMMYFUNCTION("IMPORTRANGE(""https://docs.google.com/spreadsheets/d/1SX6NBoVAgQJ6U1MVXOaj8PK2l7WJ3RER9xtqwdhxkhw/edit#gid=346597447"",""ชัยนาท!J567"")"),0)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IFERROR(__xludf.DUMMYFUNCTION("IMPORTRANGE(""https://docs.google.com/spreadsheets/d/1SX6NBoVAgQJ6U1MVXOaj8PK2l7WJ3RER9xtqwdhxkhw/edit#gid=346597447"",""ชัยนาท!J568"")"),0)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IFERROR(__xludf.DUMMYFUNCTION("IMPORTRANGE(""https://docs.google.com/spreadsheets/d/1SX6NBoVAgQJ6U1MVXOaj8PK2l7WJ3RER9xtqwdhxkhw/edit#gid=346597447"",""ชัยนาท!J569"")"),0)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IFERROR(__xludf.DUMMYFUNCTION("IMPORTRANGE(""https://docs.google.com/spreadsheets/d/1SX6NBoVAgQJ6U1MVXOaj8PK2l7WJ3RER9xtqwdhxkhw/edit#gid=346597447"",""ชัยนาท!J570"")"),0)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IFERROR(__xludf.DUMMYFUNCTION("IMPORTRANGE(""https://docs.google.com/spreadsheets/d/1SX6NBoVAgQJ6U1MVXOaj8PK2l7WJ3RER9xtqwdhxkhw/edit#gid=346597447"",""ชัยนาท!J571"")"),0)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IFERROR(__xludf.DUMMYFUNCTION("IMPORTRANGE(""https://docs.google.com/spreadsheets/d/1SX6NBoVAgQJ6U1MVXOaj8PK2l7WJ3RER9xtqwdhxkhw/edit#gid=346597447"",""ชัยนาท!J572"")"),0)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270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2779582</v>
      </c>
      <c r="M8" s="23">
        <f t="shared" ca="1" si="0"/>
        <v>1699088</v>
      </c>
      <c r="N8" s="23">
        <f t="shared" ca="1" si="0"/>
        <v>1935426.18</v>
      </c>
      <c r="O8" s="22">
        <f t="shared" ref="O8:O16" ca="1" si="1">IF(L8&gt;0,N8*100/L8,0)</f>
        <v>69.630116326843392</v>
      </c>
      <c r="P8" s="22">
        <f t="shared" ref="P8:P16" ca="1" si="2">IF(M8&gt;0,N8*100/M8,0)</f>
        <v>113.90970803160283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2779582</v>
      </c>
      <c r="M10" s="30">
        <f t="shared" ca="1" si="4"/>
        <v>1699088</v>
      </c>
      <c r="N10" s="30">
        <f t="shared" ca="1" si="4"/>
        <v>1935426.18</v>
      </c>
      <c r="O10" s="29">
        <f t="shared" ca="1" si="1"/>
        <v>69.630116326843392</v>
      </c>
      <c r="P10" s="29">
        <f t="shared" ca="1" si="2"/>
        <v>113.90970803160283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2491582</v>
      </c>
      <c r="M12" s="38">
        <f t="shared" ca="1" si="6"/>
        <v>1411088</v>
      </c>
      <c r="N12" s="38">
        <f t="shared" ca="1" si="6"/>
        <v>1647426.18</v>
      </c>
      <c r="O12" s="38">
        <f t="shared" ca="1" si="1"/>
        <v>66.119685404694692</v>
      </c>
      <c r="P12" s="38">
        <f t="shared" ca="1" si="2"/>
        <v>116.74864926921637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1477700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1013882</v>
      </c>
      <c r="M14" s="38">
        <f t="shared" si="8"/>
        <v>0</v>
      </c>
      <c r="N14" s="38">
        <f t="shared" ca="1" si="8"/>
        <v>463711</v>
      </c>
      <c r="O14" s="38">
        <f t="shared" ca="1" si="1"/>
        <v>45.736190207538947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2151240</v>
      </c>
      <c r="M18" s="23">
        <f t="shared" ca="1" si="11"/>
        <v>1699088</v>
      </c>
      <c r="N18" s="23">
        <f t="shared" ca="1" si="11"/>
        <v>1471715.18</v>
      </c>
      <c r="O18" s="22">
        <f t="shared" ref="O18:O20" ca="1" si="12">IF(L18&gt;0,N18*100/L18,0)</f>
        <v>68.412412376117956</v>
      </c>
      <c r="P18" s="22">
        <f t="shared" ref="P18:P26" ca="1" si="13">IF(M18&gt;0,N18*100/M18,0)</f>
        <v>86.617949158607445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2151240</v>
      </c>
      <c r="M20" s="30">
        <f t="shared" ca="1" si="15"/>
        <v>1699088</v>
      </c>
      <c r="N20" s="30">
        <f t="shared" ca="1" si="15"/>
        <v>1471715.18</v>
      </c>
      <c r="O20" s="29">
        <f t="shared" ca="1" si="12"/>
        <v>68.412412376117956</v>
      </c>
      <c r="P20" s="29">
        <f t="shared" ca="1" si="13"/>
        <v>86.617949158607445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1863240</v>
      </c>
      <c r="M22" s="41">
        <f t="shared" ca="1" si="18"/>
        <v>1411088</v>
      </c>
      <c r="N22" s="38">
        <f t="shared" ca="1" si="18"/>
        <v>1183715.18</v>
      </c>
      <c r="O22" s="38">
        <f t="shared" ca="1" si="17"/>
        <v>63.529936025418088</v>
      </c>
      <c r="P22" s="38">
        <f t="shared" ca="1" si="13"/>
        <v>83.886701608971237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1477700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385540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628342</v>
      </c>
      <c r="M28" s="23">
        <f t="shared" si="23"/>
        <v>0</v>
      </c>
      <c r="N28" s="23">
        <f t="shared" ca="1" si="23"/>
        <v>463711</v>
      </c>
      <c r="O28" s="22">
        <f t="shared" ref="O28:O30" ca="1" si="24">IF(L28&gt;0,N28*100/L28,0)</f>
        <v>73.799141232004231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628342</v>
      </c>
      <c r="M30" s="30">
        <f t="shared" si="27"/>
        <v>0</v>
      </c>
      <c r="N30" s="30">
        <f t="shared" ca="1" si="27"/>
        <v>463711</v>
      </c>
      <c r="O30" s="29">
        <f t="shared" ca="1" si="24"/>
        <v>73.799141232004231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628342</v>
      </c>
      <c r="M32" s="38">
        <f t="shared" si="30"/>
        <v>0</v>
      </c>
      <c r="N32" s="38">
        <f t="shared" ca="1" si="30"/>
        <v>463711</v>
      </c>
      <c r="O32" s="38">
        <f t="shared" ca="1" si="29"/>
        <v>73.799141232004231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628342</v>
      </c>
      <c r="M34" s="38">
        <f t="shared" si="32"/>
        <v>0</v>
      </c>
      <c r="N34" s="38">
        <f t="shared" ca="1" si="32"/>
        <v>463711</v>
      </c>
      <c r="O34" s="38">
        <f t="shared" ca="1" si="29"/>
        <v>73.799141232004231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2151240</v>
      </c>
      <c r="M37" s="54">
        <f t="shared" ca="1" si="33"/>
        <v>1699088</v>
      </c>
      <c r="N37" s="54">
        <f t="shared" ca="1" si="33"/>
        <v>1471715.18</v>
      </c>
      <c r="O37" s="55">
        <f t="shared" ca="1" si="29"/>
        <v>68.412412376117956</v>
      </c>
      <c r="P37" s="55">
        <f t="shared" ca="1" si="25"/>
        <v>86.617949158607445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760500</v>
      </c>
      <c r="N41" s="78">
        <f t="shared" ca="1" si="34"/>
        <v>701514.17999999993</v>
      </c>
      <c r="O41" s="77">
        <f t="shared" ref="O41:O43" ca="1" si="35">IF(L41&gt;0,N41*100/L41,0)</f>
        <v>76.425991938119623</v>
      </c>
      <c r="P41" s="77">
        <f t="shared" ref="P41:P43" ca="1" si="36">IF(M41&gt;0,N41*100/M41,0)</f>
        <v>92.243810650887568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760500</v>
      </c>
      <c r="N43" s="78">
        <f t="shared" ca="1" si="38"/>
        <v>701514.17999999993</v>
      </c>
      <c r="O43" s="77">
        <f t="shared" ca="1" si="35"/>
        <v>76.425991938119623</v>
      </c>
      <c r="P43" s="77">
        <f t="shared" ca="1" si="36"/>
        <v>92.243810650887568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629900</v>
      </c>
      <c r="M45" s="49">
        <f ca="1">IFERROR(__xludf.DUMMYFUNCTION("IMPORTRANGE(""https://docs.google.com/spreadsheets/d/1Yj_ptqi66GCucihVvJfMjLAmec39IyEx_6qawtMGysU/edit?usp=sharing"",""สบก!Q64"")"),472500)</f>
        <v>472500</v>
      </c>
      <c r="N45" s="49">
        <f ca="1">IFERROR(__xludf.DUMMYFUNCTION("IMPORTRANGE(""https://docs.google.com/spreadsheets/d/1Yj_ptqi66GCucihVvJfMjLAmec39IyEx_6qawtMGysU/edit?usp=sharing"",""สบก!R64"")"),413514.18)</f>
        <v>413514.18</v>
      </c>
      <c r="O45" s="38">
        <f ca="1">IF(L45&gt;0,N45*100/L45,0)</f>
        <v>65.647591681219239</v>
      </c>
      <c r="P45" s="38">
        <f ca="1">IF(M45&gt;0,N45*100/M45,0)</f>
        <v>87.51622857142857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IFERROR(__xludf.DUMMYFUNCTION("IMPORTRANGE(""https://docs.google.com/spreadsheets/d/1Yj_ptqi66GCucihVvJfMjLAmec39IyEx_6qawtMGysU/edit?usp=sharing"",""สบก!M64"")"),629900)</f>
        <v>629900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354000</v>
      </c>
      <c r="M53" s="121">
        <f t="shared" ca="1" si="39"/>
        <v>279913</v>
      </c>
      <c r="N53" s="121">
        <f t="shared" ca="1" si="39"/>
        <v>176051</v>
      </c>
      <c r="O53" s="120">
        <f t="shared" ref="O53:O55" ca="1" si="40">IF(L53&gt;0,N53*100/L53,0)</f>
        <v>49.731920903954801</v>
      </c>
      <c r="P53" s="120">
        <f t="shared" ref="P53:P55" ca="1" si="41">IF(M53&gt;0,N53*100/M53,0)</f>
        <v>62.894899486626201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354000</v>
      </c>
      <c r="M55" s="121">
        <f t="shared" ca="1" si="43"/>
        <v>279913</v>
      </c>
      <c r="N55" s="121">
        <f t="shared" ca="1" si="43"/>
        <v>176051</v>
      </c>
      <c r="O55" s="120">
        <f t="shared" ca="1" si="40"/>
        <v>49.731920903954801</v>
      </c>
      <c r="P55" s="120">
        <f t="shared" ca="1" si="41"/>
        <v>62.894899486626201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354000</v>
      </c>
      <c r="M57" s="49">
        <f ca="1">IFERROR(__xludf.DUMMYFUNCTION("IMPORTRANGE(""https://docs.google.com/spreadsheets/d/1Yj_ptqi66GCucihVvJfMjLAmec39IyEx_6qawtMGysU/edit?usp=sharing"",""สบก!Z64"")"),279913)</f>
        <v>279913</v>
      </c>
      <c r="N57" s="49">
        <f ca="1">IFERROR(__xludf.DUMMYFUNCTION("IMPORTRANGE(""https://docs.google.com/spreadsheets/d/1Yj_ptqi66GCucihVvJfMjLAmec39IyEx_6qawtMGysU/edit?usp=sharing"",""สบก!AA64"")"),176051)</f>
        <v>176051</v>
      </c>
      <c r="O57" s="38">
        <f ca="1">IF(L57&gt;0,N57*100/L57,0)</f>
        <v>49.731920903954801</v>
      </c>
      <c r="P57" s="38">
        <f ca="1">IF(M57&gt;0,N57*100/M57,0)</f>
        <v>62.894899486626201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IFERROR(__xludf.DUMMYFUNCTION("IMPORTRANGE(""https://docs.google.com/spreadsheets/d/1Yj_ptqi66GCucihVvJfMjLAmec39IyEx_6qawtMGysU/edit?usp=sharing"",""สบก!V64"")"),354000)</f>
        <v>354000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IFERROR(__xludf.DUMMYFUNCTION("IMPORTRANGE(""https://docs.google.com/spreadsheets/d/1Yj_ptqi66GCucihVvJfMjLAmec39IyEx_6qawtMGysU/edit?usp=sharing"",""สบก!AI64"")"),0)</f>
        <v>0</v>
      </c>
      <c r="N70" s="169">
        <f ca="1">IFERROR(__xludf.DUMMYFUNCTION("IMPORTRANGE(""https://docs.google.com/spreadsheets/d/1Yj_ptqi66GCucihVvJfMjLAmec39IyEx_6qawtMGysU/edit?usp=sharing"",""สบก!AJ64"")"),0)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IFERROR(__xludf.DUMMYFUNCTION("IMPORTRANGE(""https://docs.google.com/spreadsheets/d/1Yj_ptqi66GCucihVvJfMjLAmec39IyEx_6qawtMGysU/edit?usp=sharing"",""สบก!AE64"")"),0)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IFERROR(__xludf.DUMMYFUNCTION("IMPORTRANGE(""https://docs.google.com/spreadsheets/d/1Yj_ptqi66GCucihVvJfMjLAmec39IyEx_6qawtMGysU/edit?usp=sharing"",""สบก!AF64"")"),0)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IFERROR(__xludf.DUMMYFUNCTION("IMPORTRANGE(""https://docs.google.com/spreadsheets/d/1SX6NBoVAgQJ6U1MVXOaj8PK2l7WJ3RER9xtqwdhxkhw/edit?usp=sharing"",""ตราด!J16"")"),0)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IFERROR(__xludf.DUMMYFUNCTION("IMPORTRANGE(""https://docs.google.com/spreadsheets/d/1SX6NBoVAgQJ6U1MVXOaj8PK2l7WJ3RER9xtqwdhxkhw/edit?usp=sharing"",""ตราด!J17"")"),0)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IFERROR(__xludf.DUMMYFUNCTION("IMPORTRANGE(""https://docs.google.com/spreadsheets/d/1SX6NBoVAgQJ6U1MVXOaj8PK2l7WJ3RER9xtqwdhxkhw/edit?usp=sharing"",""ตราด!J18"")"),0)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IFERROR(__xludf.DUMMYFUNCTION("IMPORTRANGE(""https://docs.google.com/spreadsheets/d/1SX6NBoVAgQJ6U1MVXOaj8PK2l7WJ3RER9xtqwdhxkhw/edit?usp=sharing"",""ตราด!J19"")"),0)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IFERROR(__xludf.DUMMYFUNCTION("IMPORTRANGE(""https://docs.google.com/spreadsheets/d/1SX6NBoVAgQJ6U1MVXOaj8PK2l7WJ3RER9xtqwdhxkhw/edit?usp=sharing"",""ตราด!I20"")"),0)</f>
        <v>0</v>
      </c>
      <c r="J80" s="201">
        <f ca="1">IFERROR(__xludf.DUMMYFUNCTION("IMPORTRANGE(""https://docs.google.com/spreadsheets/d/1SX6NBoVAgQJ6U1MVXOaj8PK2l7WJ3RER9xtqwdhxkhw/edit?usp=sharing"",""ตราด!J20"")"),0)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IFERROR(__xludf.DUMMYFUNCTION("IMPORTRANGE(""https://docs.google.com/spreadsheets/d/1SX6NBoVAgQJ6U1MVXOaj8PK2l7WJ3RER9xtqwdhxkhw/edit?usp=sharing"",""ตราด!I21"")"),0)</f>
        <v>0</v>
      </c>
      <c r="J81" s="201">
        <f ca="1">IFERROR(__xludf.DUMMYFUNCTION("IMPORTRANGE(""https://docs.google.com/spreadsheets/d/1SX6NBoVAgQJ6U1MVXOaj8PK2l7WJ3RER9xtqwdhxkhw/edit?usp=sharing"",""ตราด!J21"")"),0)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IFERROR(__xludf.DUMMYFUNCTION("IMPORTRANGE(""https://docs.google.com/spreadsheets/d/1SX6NBoVAgQJ6U1MVXOaj8PK2l7WJ3RER9xtqwdhxkhw/edit?usp=sharing"",""ตราด!I22"")"),0)</f>
        <v>0</v>
      </c>
      <c r="J82" s="204">
        <f ca="1">IFERROR(__xludf.DUMMYFUNCTION("IMPORTRANGE(""https://docs.google.com/spreadsheets/d/1SX6NBoVAgQJ6U1MVXOaj8PK2l7WJ3RER9xtqwdhxkhw/edit?usp=sharing"",""ตราด!J22"")"),0)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IFERROR(__xludf.DUMMYFUNCTION("IMPORTRANGE(""https://docs.google.com/spreadsheets/d/1SX6NBoVAgQJ6U1MVXOaj8PK2l7WJ3RER9xtqwdhxkhw/edit?usp=sharing"",""ตราด!I23"")"),0)</f>
        <v>0</v>
      </c>
      <c r="J83" s="204">
        <f ca="1">IFERROR(__xludf.DUMMYFUNCTION("IMPORTRANGE(""https://docs.google.com/spreadsheets/d/1SX6NBoVAgQJ6U1MVXOaj8PK2l7WJ3RER9xtqwdhxkhw/edit?usp=sharing"",""ตราด!J23"")"),0)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IFERROR(__xludf.DUMMYFUNCTION("IMPORTRANGE(""https://docs.google.com/spreadsheets/d/1SX6NBoVAgQJ6U1MVXOaj8PK2l7WJ3RER9xtqwdhxkhw/edit?usp=sharing"",""ตราด!I24"")"),0)</f>
        <v>0</v>
      </c>
      <c r="J84" s="189">
        <f ca="1">IFERROR(__xludf.DUMMYFUNCTION("IMPORTRANGE(""https://docs.google.com/spreadsheets/d/1SX6NBoVAgQJ6U1MVXOaj8PK2l7WJ3RER9xtqwdhxkhw/edit?usp=sharing"",""ตราด!J24"")"),0)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IFERROR(__xludf.DUMMYFUNCTION("IMPORTRANGE(""https://docs.google.com/spreadsheets/d/1SX6NBoVAgQJ6U1MVXOaj8PK2l7WJ3RER9xtqwdhxkhw/edit?usp=sharing"",""ตราด!I25"")"),0)</f>
        <v>0</v>
      </c>
      <c r="J85" s="189">
        <f ca="1">IFERROR(__xludf.DUMMYFUNCTION("IMPORTRANGE(""https://docs.google.com/spreadsheets/d/1SX6NBoVAgQJ6U1MVXOaj8PK2l7WJ3RER9xtqwdhxkhw/edit?usp=sharing"",""ตราด!J25"")"),0)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IFERROR(__xludf.DUMMYFUNCTION("IMPORTRANGE(""https://docs.google.com/spreadsheets/d/1SX6NBoVAgQJ6U1MVXOaj8PK2l7WJ3RER9xtqwdhxkhw/edit?usp=sharing"",""ตราด!I26"")"),0)</f>
        <v>0</v>
      </c>
      <c r="J86" s="204">
        <f ca="1">IFERROR(__xludf.DUMMYFUNCTION("IMPORTRANGE(""https://docs.google.com/spreadsheets/d/1SX6NBoVAgQJ6U1MVXOaj8PK2l7WJ3RER9xtqwdhxkhw/edit?usp=sharing"",""ตราด!J26"")"),0)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IFERROR(__xludf.DUMMYFUNCTION("IMPORTRANGE(""https://docs.google.com/spreadsheets/d/1SX6NBoVAgQJ6U1MVXOaj8PK2l7WJ3RER9xtqwdhxkhw/edit?usp=sharing"",""ตราด!I27"")"),0)</f>
        <v>0</v>
      </c>
      <c r="J87" s="204">
        <f ca="1">IFERROR(__xludf.DUMMYFUNCTION("IMPORTRANGE(""https://docs.google.com/spreadsheets/d/1SX6NBoVAgQJ6U1MVXOaj8PK2l7WJ3RER9xtqwdhxkhw/edit?usp=sharing"",""ตราด!J27"")"),0)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IFERROR(__xludf.DUMMYFUNCTION("IMPORTRANGE(""https://docs.google.com/spreadsheets/d/1SX6NBoVAgQJ6U1MVXOaj8PK2l7WJ3RER9xtqwdhxkhw/edit?usp=sharing"",""ตราด!I28"")"),0)</f>
        <v>0</v>
      </c>
      <c r="J88" s="204">
        <f ca="1">IFERROR(__xludf.DUMMYFUNCTION("IMPORTRANGE(""https://docs.google.com/spreadsheets/d/1SX6NBoVAgQJ6U1MVXOaj8PK2l7WJ3RER9xtqwdhxkhw/edit?usp=sharing"",""ตราด!J28"")"),0)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IFERROR(__xludf.DUMMYFUNCTION("IMPORTRANGE(""https://docs.google.com/spreadsheets/d/1SX6NBoVAgQJ6U1MVXOaj8PK2l7WJ3RER9xtqwdhxkhw/edit?usp=sharing"",""ตราด!J29"")"),0)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IFERROR(__xludf.DUMMYFUNCTION("IMPORTRANGE(""https://docs.google.com/spreadsheets/d/1SX6NBoVAgQJ6U1MVXOaj8PK2l7WJ3RER9xtqwdhxkhw/edit?usp=sharing"",""ตราด!J30"")"),0)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IFERROR(__xludf.DUMMYFUNCTION("IMPORTRANGE(""https://docs.google.com/spreadsheets/d/1Yj_ptqi66GCucihVvJfMjLAmec39IyEx_6qawtMGysU/edit?usp=sharing"",""สบก!AR64"")"),0)</f>
        <v>0</v>
      </c>
      <c r="N98" s="169">
        <f ca="1">IFERROR(__xludf.DUMMYFUNCTION("IMPORTRANGE(""https://docs.google.com/spreadsheets/d/1Yj_ptqi66GCucihVvJfMjLAmec39IyEx_6qawtMGysU/edit?usp=sharing"",""สบก!AS64"")"),0)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IFERROR(__xludf.DUMMYFUNCTION("IMPORTRANGE(""https://docs.google.com/spreadsheets/d/1SX6NBoVAgQJ6U1MVXOaj8PK2l7WJ3RER9xtqwdhxkhw/edit?usp=sharing"",""ตราด!J39"")"),0)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IFERROR(__xludf.DUMMYFUNCTION("IMPORTRANGE(""https://docs.google.com/spreadsheets/d/1SX6NBoVAgQJ6U1MVXOaj8PK2l7WJ3RER9xtqwdhxkhw/edit?usp=sharing"",""ตราด!J40"")"),0)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IFERROR(__xludf.DUMMYFUNCTION("IMPORTRANGE(""https://docs.google.com/spreadsheets/d/1SX6NBoVAgQJ6U1MVXOaj8PK2l7WJ3RER9xtqwdhxkhw/edit?usp=sharing"",""ตราด!J41"")"),0)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IFERROR(__xludf.DUMMYFUNCTION("IMPORTRANGE(""https://docs.google.com/spreadsheets/d/1SX6NBoVAgQJ6U1MVXOaj8PK2l7WJ3RER9xtqwdhxkhw/edit?usp=sharing"",""ตราด!J42"")"),0)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IFERROR(__xludf.DUMMYFUNCTION("IMPORTRANGE(""https://docs.google.com/spreadsheets/d/1SX6NBoVAgQJ6U1MVXOaj8PK2l7WJ3RER9xtqwdhxkhw/edit?usp=sharing"",""ตราด!I43"")"),0)</f>
        <v>0</v>
      </c>
      <c r="J108" s="204">
        <f ca="1">IFERROR(__xludf.DUMMYFUNCTION("IMPORTRANGE(""https://docs.google.com/spreadsheets/d/1SX6NBoVAgQJ6U1MVXOaj8PK2l7WJ3RER9xtqwdhxkhw/edit?usp=sharing"",""ตราด!J43"")"),0)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IFERROR(__xludf.DUMMYFUNCTION("IMPORTRANGE(""https://docs.google.com/spreadsheets/d/1SX6NBoVAgQJ6U1MVXOaj8PK2l7WJ3RER9xtqwdhxkhw/edit?usp=sharing"",""ตราด!I44"")"),0)</f>
        <v>0</v>
      </c>
      <c r="J109" s="204">
        <f ca="1">IFERROR(__xludf.DUMMYFUNCTION("IMPORTRANGE(""https://docs.google.com/spreadsheets/d/1SX6NBoVAgQJ6U1MVXOaj8PK2l7WJ3RER9xtqwdhxkhw/edit?usp=sharing"",""ตราด!J44"")"),0)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IFERROR(__xludf.DUMMYFUNCTION("IMPORTRANGE(""https://docs.google.com/spreadsheets/d/1SX6NBoVAgQJ6U1MVXOaj8PK2l7WJ3RER9xtqwdhxkhw/edit?usp=sharing"",""ตราด!I45"")"),0)</f>
        <v>0</v>
      </c>
      <c r="J110" s="204">
        <f ca="1">IFERROR(__xludf.DUMMYFUNCTION("IMPORTRANGE(""https://docs.google.com/spreadsheets/d/1SX6NBoVAgQJ6U1MVXOaj8PK2l7WJ3RER9xtqwdhxkhw/edit?usp=sharing"",""ตราด!J45"")"),0)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IFERROR(__xludf.DUMMYFUNCTION("IMPORTRANGE(""https://docs.google.com/spreadsheets/d/1SX6NBoVAgQJ6U1MVXOaj8PK2l7WJ3RER9xtqwdhxkhw/edit?usp=sharing"",""ตราด!I46"")"),0)</f>
        <v>0</v>
      </c>
      <c r="J111" s="204">
        <f ca="1">IFERROR(__xludf.DUMMYFUNCTION("IMPORTRANGE(""https://docs.google.com/spreadsheets/d/1SX6NBoVAgQJ6U1MVXOaj8PK2l7WJ3RER9xtqwdhxkhw/edit?usp=sharing"",""ตราด!J46"")"),0)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IFERROR(__xludf.DUMMYFUNCTION("IMPORTRANGE(""https://docs.google.com/spreadsheets/d/1SX6NBoVAgQJ6U1MVXOaj8PK2l7WJ3RER9xtqwdhxkhw/edit?usp=sharing"",""ตราด!I47"")"),0)</f>
        <v>0</v>
      </c>
      <c r="J112" s="204">
        <f ca="1">IFERROR(__xludf.DUMMYFUNCTION("IMPORTRANGE(""https://docs.google.com/spreadsheets/d/1SX6NBoVAgQJ6U1MVXOaj8PK2l7WJ3RER9xtqwdhxkhw/edit?usp=sharing"",""ตราด!J47"")"),0)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IFERROR(__xludf.DUMMYFUNCTION("IMPORTRANGE(""https://docs.google.com/spreadsheets/d/1SX6NBoVAgQJ6U1MVXOaj8PK2l7WJ3RER9xtqwdhxkhw/edit?usp=sharing"",""ตราด!I48"")"),0)</f>
        <v>0</v>
      </c>
      <c r="J113" s="204">
        <f ca="1">IFERROR(__xludf.DUMMYFUNCTION("IMPORTRANGE(""https://docs.google.com/spreadsheets/d/1SX6NBoVAgQJ6U1MVXOaj8PK2l7WJ3RER9xtqwdhxkhw/edit?usp=sharing"",""ตราด!J48"")"),0)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IFERROR(__xludf.DUMMYFUNCTION("IMPORTRANGE(""https://docs.google.com/spreadsheets/d/1SX6NBoVAgQJ6U1MVXOaj8PK2l7WJ3RER9xtqwdhxkhw/edit?usp=sharing"",""ตราด!J49"")"),0)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IFERROR(__xludf.DUMMYFUNCTION("IMPORTRANGE(""https://docs.google.com/spreadsheets/d/1SX6NBoVAgQJ6U1MVXOaj8PK2l7WJ3RER9xtqwdhxkhw/edit?usp=sharing"",""ตราด!J50"")"),0)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IFERROR(__xludf.DUMMYFUNCTION("IMPORTRANGE(""https://docs.google.com/spreadsheets/d/1Yj_ptqi66GCucihVvJfMjLAmec39IyEx_6qawtMGysU/edit?usp=sharing"",""สบก!BA64"")"),0)</f>
        <v>0</v>
      </c>
      <c r="N122" s="169">
        <f ca="1">IFERROR(__xludf.DUMMYFUNCTION("IMPORTRANGE(""https://docs.google.com/spreadsheets/d/1Yj_ptqi66GCucihVvJfMjLAmec39IyEx_6qawtMGysU/edit?usp=sharing"",""สบก!BB64"")"),0)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IFERROR(__xludf.DUMMYFUNCTION("IMPORTRANGE(""https://docs.google.com/spreadsheets/d/1Yj_ptqi66GCucihVvJfMjLAmec39IyEx_6qawtMGysU/edit?usp=sharing"",""สบก!AX64"")"),0)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IFERROR(__xludf.DUMMYFUNCTION("IMPORTRANGE(""https://docs.google.com/spreadsheets/d/1SX6NBoVAgQJ6U1MVXOaj8PK2l7WJ3RER9xtqwdhxkhw/edit?usp=sharing"",""ตราด!J58"")"),0)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IFERROR(__xludf.DUMMYFUNCTION("IMPORTRANGE(""https://docs.google.com/spreadsheets/d/1SX6NBoVAgQJ6U1MVXOaj8PK2l7WJ3RER9xtqwdhxkhw/edit?usp=sharing"",""ตราด!J59"")"),0)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IFERROR(__xludf.DUMMYFUNCTION("IMPORTRANGE(""https://docs.google.com/spreadsheets/d/1SX6NBoVAgQJ6U1MVXOaj8PK2l7WJ3RER9xtqwdhxkhw/edit?usp=sharing"",""ตราด!J60"")"),0)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IFERROR(__xludf.DUMMYFUNCTION("IMPORTRANGE(""https://docs.google.com/spreadsheets/d/1SX6NBoVAgQJ6U1MVXOaj8PK2l7WJ3RER9xtqwdhxkhw/edit?usp=sharing"",""ตราด!J61"")"),0)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IFERROR(__xludf.DUMMYFUNCTION("IMPORTRANGE(""https://docs.google.com/spreadsheets/d/1SX6NBoVAgQJ6U1MVXOaj8PK2l7WJ3RER9xtqwdhxkhw/edit?usp=sharing"",""ตราด!I62"")"),0)</f>
        <v>0</v>
      </c>
      <c r="J132" s="204">
        <f ca="1">IFERROR(__xludf.DUMMYFUNCTION("IMPORTRANGE(""https://docs.google.com/spreadsheets/d/1SX6NBoVAgQJ6U1MVXOaj8PK2l7WJ3RER9xtqwdhxkhw/edit?usp=sharing"",""ตราด!J62"")"),0)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IFERROR(__xludf.DUMMYFUNCTION("IMPORTRANGE(""https://docs.google.com/spreadsheets/d/1SX6NBoVAgQJ6U1MVXOaj8PK2l7WJ3RER9xtqwdhxkhw/edit?usp=sharing"",""ตราด!I63"")"),0)</f>
        <v>0</v>
      </c>
      <c r="J133" s="204">
        <f ca="1">IFERROR(__xludf.DUMMYFUNCTION("IMPORTRANGE(""https://docs.google.com/spreadsheets/d/1SX6NBoVAgQJ6U1MVXOaj8PK2l7WJ3RER9xtqwdhxkhw/edit?usp=sharing"",""ตราด!J63"")"),0)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IFERROR(__xludf.DUMMYFUNCTION("IMPORTRANGE(""https://docs.google.com/spreadsheets/d/1SX6NBoVAgQJ6U1MVXOaj8PK2l7WJ3RER9xtqwdhxkhw/edit?usp=sharing"",""ตราด!J64"")"),0)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IFERROR(__xludf.DUMMYFUNCTION("IMPORTRANGE(""https://docs.google.com/spreadsheets/d/1SX6NBoVAgQJ6U1MVXOaj8PK2l7WJ3RER9xtqwdhxkhw/edit?usp=sharing"",""ตราด!J65"")"),0)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IFERROR(__xludf.DUMMYFUNCTION("IMPORTRANGE(""https://docs.google.com/spreadsheets/d/1SX6NBoVAgQJ6U1MVXOaj8PK2l7WJ3RER9xtqwdhxkhw/edit?usp=sharing"",""ตราด!I68"")"),0)</f>
        <v>0</v>
      </c>
      <c r="J138" s="268">
        <f ca="1">IFERROR(__xludf.DUMMYFUNCTION("IMPORTRANGE(""https://docs.google.com/spreadsheets/d/1SX6NBoVAgQJ6U1MVXOaj8PK2l7WJ3RER9xtqwdhxkhw/edit?usp=sharing"",""ตราด!J68"")"),0)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43100</v>
      </c>
      <c r="M140" s="152">
        <f t="shared" ca="1" si="64"/>
        <v>37225</v>
      </c>
      <c r="N140" s="152">
        <f t="shared" ca="1" si="64"/>
        <v>34980</v>
      </c>
      <c r="O140" s="151">
        <f t="shared" ref="O140:O142" ca="1" si="65">IF(L140&gt;0,N140*100/L140,0)</f>
        <v>81.16009280742459</v>
      </c>
      <c r="P140" s="151">
        <f t="shared" ref="P140:P142" ca="1" si="66">IF(M140&gt;0,N140*100/M140,0)</f>
        <v>93.969106783075887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43100</v>
      </c>
      <c r="M142" s="157">
        <f t="shared" ca="1" si="68"/>
        <v>37225</v>
      </c>
      <c r="N142" s="157">
        <f t="shared" ca="1" si="68"/>
        <v>34980</v>
      </c>
      <c r="O142" s="156">
        <f t="shared" ca="1" si="65"/>
        <v>81.16009280742459</v>
      </c>
      <c r="P142" s="156">
        <f t="shared" ca="1" si="66"/>
        <v>93.969106783075887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43100</v>
      </c>
      <c r="M144" s="168">
        <f ca="1">IFERROR(__xludf.DUMMYFUNCTION("IMPORTRANGE(""https://docs.google.com/spreadsheets/d/1Yj_ptqi66GCucihVvJfMjLAmec39IyEx_6qawtMGysU/edit?usp=sharing"",""สบก!BJ64"")"),37225)</f>
        <v>37225</v>
      </c>
      <c r="N144" s="169">
        <f ca="1">IFERROR(__xludf.DUMMYFUNCTION("IMPORTRANGE(""https://docs.google.com/spreadsheets/d/1Yj_ptqi66GCucihVvJfMjLAmec39IyEx_6qawtMGysU/edit?usp=sharing"",""สบก!BK64"")"),34980)</f>
        <v>34980</v>
      </c>
      <c r="O144" s="169">
        <f ca="1">IF(L144&gt;0,N144*100/L144,0)</f>
        <v>81.16009280742459</v>
      </c>
      <c r="P144" s="169">
        <f ca="1">IF(M144&gt;0,N144*100/M144,0)</f>
        <v>93.969106783075887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IFERROR(__xludf.DUMMYFUNCTION("IMPORTRANGE(""https://docs.google.com/spreadsheets/d/1Yj_ptqi66GCucihVvJfMjLAmec39IyEx_6qawtMGysU/edit?usp=sharing"",""สบก!BF64"")"),0)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IFERROR(__xludf.DUMMYFUNCTION("IMPORTRANGE(""https://docs.google.com/spreadsheets/d/1Yj_ptqi66GCucihVvJfMjLAmec39IyEx_6qawtMGysU/edit?usp=sharing"",""สบก!BG64"")"),43100)</f>
        <v>43100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IFERROR(__xludf.DUMMYFUNCTION("IMPORTRANGE(""https://docs.google.com/spreadsheets/d/1SX6NBoVAgQJ6U1MVXOaj8PK2l7WJ3RER9xtqwdhxkhw/edit?usp=sharing"",""ตราด!I74"")"),4)</f>
        <v>4</v>
      </c>
      <c r="J149" s="276">
        <f ca="1">IFERROR(__xludf.DUMMYFUNCTION("IMPORTRANGE(""https://docs.google.com/spreadsheets/d/1SX6NBoVAgQJ6U1MVXOaj8PK2l7WJ3RER9xtqwdhxkhw/edit?usp=sharing"",""ตราด!J74"")"),2)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IFERROR(__xludf.DUMMYFUNCTION("IMPORTRANGE(""https://docs.google.com/spreadsheets/d/1SX6NBoVAgQJ6U1MVXOaj8PK2l7WJ3RER9xtqwdhxkhw/edit?usp=sharing"",""ตราด!J79"")"),0)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IFERROR(__xludf.DUMMYFUNCTION("IMPORTRANGE(""https://docs.google.com/spreadsheets/d/1SX6NBoVAgQJ6U1MVXOaj8PK2l7WJ3RER9xtqwdhxkhw/edit?usp=sharing"",""ตราด!J80"")"),1)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IFERROR(__xludf.DUMMYFUNCTION("IMPORTRANGE(""https://docs.google.com/spreadsheets/d/1SX6NBoVAgQJ6U1MVXOaj8PK2l7WJ3RER9xtqwdhxkhw/edit?usp=sharing"",""ตราด!J81"")"),1)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IFERROR(__xludf.DUMMYFUNCTION("IMPORTRANGE(""https://docs.google.com/spreadsheets/d/1SX6NBoVAgQJ6U1MVXOaj8PK2l7WJ3RER9xtqwdhxkhw/edit?usp=sharing"",""ตราด!J82"")"),1)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IFERROR(__xludf.DUMMYFUNCTION("IMPORTRANGE(""https://docs.google.com/spreadsheets/d/1SX6NBoVAgQJ6U1MVXOaj8PK2l7WJ3RER9xtqwdhxkhw/edit?usp=sharing"",""ตราด!I83"")"),4)</f>
        <v>4</v>
      </c>
      <c r="J158" s="189">
        <f ca="1">IFERROR(__xludf.DUMMYFUNCTION("IMPORTRANGE(""https://docs.google.com/spreadsheets/d/1SX6NBoVAgQJ6U1MVXOaj8PK2l7WJ3RER9xtqwdhxkhw/edit?usp=sharing"",""ตราด!J83"")"),2)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IFERROR(__xludf.DUMMYFUNCTION("IMPORTRANGE(""https://docs.google.com/spreadsheets/d/1SX6NBoVAgQJ6U1MVXOaj8PK2l7WJ3RER9xtqwdhxkhw/edit?usp=sharing"",""ตราด!J84"")"),52)</f>
        <v>52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IFERROR(__xludf.DUMMYFUNCTION("IMPORTRANGE(""https://docs.google.com/spreadsheets/d/1SX6NBoVAgQJ6U1MVXOaj8PK2l7WJ3RER9xtqwdhxkhw/edit?usp=sharing"",""ตราด!J85"")"),52)</f>
        <v>52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IFERROR(__xludf.DUMMYFUNCTION("IMPORTRANGE(""https://docs.google.com/spreadsheets/d/1SX6NBoVAgQJ6U1MVXOaj8PK2l7WJ3RER9xtqwdhxkhw/edit?usp=sharing"",""ตราด!J86"")"),0)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IFERROR(__xludf.DUMMYFUNCTION("IMPORTRANGE(""https://docs.google.com/spreadsheets/d/1SX6NBoVAgQJ6U1MVXOaj8PK2l7WJ3RER9xtqwdhxkhw/edit?usp=sharing"",""ตราด!J87"")"),0)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IFERROR(__xludf.DUMMYFUNCTION("IMPORTRANGE(""https://docs.google.com/spreadsheets/d/1SX6NBoVAgQJ6U1MVXOaj8PK2l7WJ3RER9xtqwdhxkhw/edit?usp=sharing"",""ตราด!J88"")"),0)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IFERROR(__xludf.DUMMYFUNCTION("IMPORTRANGE(""https://docs.google.com/spreadsheets/d/1SX6NBoVAgQJ6U1MVXOaj8PK2l7WJ3RER9xtqwdhxkhw/edit?usp=sharing"",""ตราด!I89"")"),1)</f>
        <v>1</v>
      </c>
      <c r="J164" s="285">
        <f ca="1">IFERROR(__xludf.DUMMYFUNCTION("IMPORTRANGE(""https://docs.google.com/spreadsheets/d/1SX6NBoVAgQJ6U1MVXOaj8PK2l7WJ3RER9xtqwdhxkhw/edit?usp=sharing"",""ตราด!J89"")"),1)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IFERROR(__xludf.DUMMYFUNCTION("IMPORTRANGE(""https://docs.google.com/spreadsheets/d/1SX6NBoVAgQJ6U1MVXOaj8PK2l7WJ3RER9xtqwdhxkhw/edit?usp=sharing"",""ตราด!J94"")"),0)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IFERROR(__xludf.DUMMYFUNCTION("IMPORTRANGE(""https://docs.google.com/spreadsheets/d/1SX6NBoVAgQJ6U1MVXOaj8PK2l7WJ3RER9xtqwdhxkhw/edit?usp=sharing"",""ตราด!J95"")"),1)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IFERROR(__xludf.DUMMYFUNCTION("IMPORTRANGE(""https://docs.google.com/spreadsheets/d/1SX6NBoVAgQJ6U1MVXOaj8PK2l7WJ3RER9xtqwdhxkhw/edit?usp=sharing"",""ตราด!J96"")"),1)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IFERROR(__xludf.DUMMYFUNCTION("IMPORTRANGE(""https://docs.google.com/spreadsheets/d/1SX6NBoVAgQJ6U1MVXOaj8PK2l7WJ3RER9xtqwdhxkhw/edit?usp=sharing"",""ตราด!J97"")"),1)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IFERROR(__xludf.DUMMYFUNCTION("IMPORTRANGE(""https://docs.google.com/spreadsheets/d/1SX6NBoVAgQJ6U1MVXOaj8PK2l7WJ3RER9xtqwdhxkhw/edit?usp=sharing"",""ตราด!I98"")"),1)</f>
        <v>1</v>
      </c>
      <c r="J173" s="189">
        <f ca="1">IFERROR(__xludf.DUMMYFUNCTION("IMPORTRANGE(""https://docs.google.com/spreadsheets/d/1SX6NBoVAgQJ6U1MVXOaj8PK2l7WJ3RER9xtqwdhxkhw/edit?usp=sharing"",""ตราด!J98"")"),1)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IFERROR(__xludf.DUMMYFUNCTION("IMPORTRANGE(""https://docs.google.com/spreadsheets/d/1SX6NBoVAgQJ6U1MVXOaj8PK2l7WJ3RER9xtqwdhxkhw/edit?usp=sharing"",""ตราด!J99"")"),0)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IFERROR(__xludf.DUMMYFUNCTION("IMPORTRANGE(""https://docs.google.com/spreadsheets/d/1SX6NBoVAgQJ6U1MVXOaj8PK2l7WJ3RER9xtqwdhxkhw/edit?usp=sharing"",""ตราด!J100"")"),0)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IFERROR(__xludf.DUMMYFUNCTION("IMPORTRANGE(""https://docs.google.com/spreadsheets/d/1SX6NBoVAgQJ6U1MVXOaj8PK2l7WJ3RER9xtqwdhxkhw/edit?usp=sharing"",""ตราด!I101"")"),1)</f>
        <v>1</v>
      </c>
      <c r="J176" s="285">
        <f ca="1">IFERROR(__xludf.DUMMYFUNCTION("IMPORTRANGE(""https://docs.google.com/spreadsheets/d/1SX6NBoVAgQJ6U1MVXOaj8PK2l7WJ3RER9xtqwdhxkhw/edit?usp=sharing"",""ตราด!J101"")"),1)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IFERROR(__xludf.DUMMYFUNCTION("IMPORTRANGE(""https://docs.google.com/spreadsheets/d/1SX6NBoVAgQJ6U1MVXOaj8PK2l7WJ3RER9xtqwdhxkhw/edit?usp=sharing"",""ตราด!J106"")"),0)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IFERROR(__xludf.DUMMYFUNCTION("IMPORTRANGE(""https://docs.google.com/spreadsheets/d/1SX6NBoVAgQJ6U1MVXOaj8PK2l7WJ3RER9xtqwdhxkhw/edit?usp=sharing"",""ตราด!J107"")"),1)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IFERROR(__xludf.DUMMYFUNCTION("IMPORTRANGE(""https://docs.google.com/spreadsheets/d/1SX6NBoVAgQJ6U1MVXOaj8PK2l7WJ3RER9xtqwdhxkhw/edit?usp=sharing"",""ตราด!J108"")"),1)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IFERROR(__xludf.DUMMYFUNCTION("IMPORTRANGE(""https://docs.google.com/spreadsheets/d/1SX6NBoVAgQJ6U1MVXOaj8PK2l7WJ3RER9xtqwdhxkhw/edit?usp=sharing"",""ตราด!J109"")"),1)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IFERROR(__xludf.DUMMYFUNCTION("IMPORTRANGE(""https://docs.google.com/spreadsheets/d/1SX6NBoVAgQJ6U1MVXOaj8PK2l7WJ3RER9xtqwdhxkhw/edit?usp=sharing"",""ตราด!I110"")"),1)</f>
        <v>1</v>
      </c>
      <c r="J185" s="204">
        <f ca="1">IFERROR(__xludf.DUMMYFUNCTION("IMPORTRANGE(""https://docs.google.com/spreadsheets/d/1SX6NBoVAgQJ6U1MVXOaj8PK2l7WJ3RER9xtqwdhxkhw/edit?usp=sharing"",""ตราด!J110"")"),1)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IFERROR(__xludf.DUMMYFUNCTION("IMPORTRANGE(""https://docs.google.com/spreadsheets/d/1SX6NBoVAgQJ6U1MVXOaj8PK2l7WJ3RER9xtqwdhxkhw/edit?usp=sharing"",""ตราด!I111"")"),1)</f>
        <v>1</v>
      </c>
      <c r="J186" s="204">
        <f ca="1">IFERROR(__xludf.DUMMYFUNCTION("IMPORTRANGE(""https://docs.google.com/spreadsheets/d/1SX6NBoVAgQJ6U1MVXOaj8PK2l7WJ3RER9xtqwdhxkhw/edit?usp=sharing"",""ตราด!J111"")"),1)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IFERROR(__xludf.DUMMYFUNCTION("IMPORTRANGE(""https://docs.google.com/spreadsheets/d/1SX6NBoVAgQJ6U1MVXOaj8PK2l7WJ3RER9xtqwdhxkhw/edit?usp=sharing"",""ตราด!J112"")"),0)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IFERROR(__xludf.DUMMYFUNCTION("IMPORTRANGE(""https://docs.google.com/spreadsheets/d/1SX6NBoVAgQJ6U1MVXOaj8PK2l7WJ3RER9xtqwdhxkhw/edit?usp=sharing"",""ตราด!J113"")"),0)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IFERROR(__xludf.DUMMYFUNCTION("IMPORTRANGE(""https://docs.google.com/spreadsheets/d/1SX6NBoVAgQJ6U1MVXOaj8PK2l7WJ3RER9xtqwdhxkhw/edit?usp=sharing"",""ตราด!I114"")"),3200)</f>
        <v>3200</v>
      </c>
      <c r="J189" s="285">
        <f ca="1">IFERROR(__xludf.DUMMYFUNCTION("IMPORTRANGE(""https://docs.google.com/spreadsheets/d/1SX6NBoVAgQJ6U1MVXOaj8PK2l7WJ3RER9xtqwdhxkhw/edit?usp=sharing"",""ตราด!J114"")"),0)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IFERROR(__xludf.DUMMYFUNCTION("IMPORTRANGE(""https://docs.google.com/spreadsheets/d/1SX6NBoVAgQJ6U1MVXOaj8PK2l7WJ3RER9xtqwdhxkhw/edit?usp=sharing"",""ตราด!J119"")"),0)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IFERROR(__xludf.DUMMYFUNCTION("IMPORTRANGE(""https://docs.google.com/spreadsheets/d/1SX6NBoVAgQJ6U1MVXOaj8PK2l7WJ3RER9xtqwdhxkhw/edit?usp=sharing"",""ตราด!J120"")"),1)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IFERROR(__xludf.DUMMYFUNCTION("IMPORTRANGE(""https://docs.google.com/spreadsheets/d/1SX6NBoVAgQJ6U1MVXOaj8PK2l7WJ3RER9xtqwdhxkhw/edit?usp=sharing"",""ตราด!J121"")"),1)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IFERROR(__xludf.DUMMYFUNCTION("IMPORTRANGE(""https://docs.google.com/spreadsheets/d/1SX6NBoVAgQJ6U1MVXOaj8PK2l7WJ3RER9xtqwdhxkhw/edit?usp=sharing"",""ตราด!J122"")"),1)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IFERROR(__xludf.DUMMYFUNCTION("IMPORTRANGE(""https://docs.google.com/spreadsheets/d/1SX6NBoVAgQJ6U1MVXOaj8PK2l7WJ3RER9xtqwdhxkhw/edit?usp=sharing"",""ตราด!I124"")"),3200)</f>
        <v>3200</v>
      </c>
      <c r="J199" s="189">
        <f ca="1">IFERROR(__xludf.DUMMYFUNCTION("IMPORTRANGE(""https://docs.google.com/spreadsheets/d/1SX6NBoVAgQJ6U1MVXOaj8PK2l7WJ3RER9xtqwdhxkhw/edit?usp=sharing"",""ตราด!J124"")"),3200)</f>
        <v>3200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IFERROR(__xludf.DUMMYFUNCTION("IMPORTRANGE(""https://docs.google.com/spreadsheets/d/1SX6NBoVAgQJ6U1MVXOaj8PK2l7WJ3RER9xtqwdhxkhw/edit?usp=sharing"",""ตราด!I125"")"),3200)</f>
        <v>3200</v>
      </c>
      <c r="J200" s="189">
        <f ca="1">IFERROR(__xludf.DUMMYFUNCTION("IMPORTRANGE(""https://docs.google.com/spreadsheets/d/1SX6NBoVAgQJ6U1MVXOaj8PK2l7WJ3RER9xtqwdhxkhw/edit?usp=sharing"",""ตราด!J125"")"),0)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IFERROR(__xludf.DUMMYFUNCTION("IMPORTRANGE(""https://docs.google.com/spreadsheets/d/1SX6NBoVAgQJ6U1MVXOaj8PK2l7WJ3RER9xtqwdhxkhw/edit?usp=sharing"",""ตราด!I126"")"),0)</f>
        <v>0</v>
      </c>
      <c r="J201" s="189">
        <f ca="1">IFERROR(__xludf.DUMMYFUNCTION("IMPORTRANGE(""https://docs.google.com/spreadsheets/d/1SX6NBoVAgQJ6U1MVXOaj8PK2l7WJ3RER9xtqwdhxkhw/edit?usp=sharing"",""ตราด!J126"")"),0)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IFERROR(__xludf.DUMMYFUNCTION("IMPORTRANGE(""https://docs.google.com/spreadsheets/d/1SX6NBoVAgQJ6U1MVXOaj8PK2l7WJ3RER9xtqwdhxkhw/edit?usp=sharing"",""ตราด!J127"")"),0)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IFERROR(__xludf.DUMMYFUNCTION("IMPORTRANGE(""https://docs.google.com/spreadsheets/d/1SX6NBoVAgQJ6U1MVXOaj8PK2l7WJ3RER9xtqwdhxkhw/edit?usp=sharing"",""ตราด!J128"")"),0)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IFERROR(__xludf.DUMMYFUNCTION("IMPORTRANGE(""https://docs.google.com/spreadsheets/d/1SX6NBoVAgQJ6U1MVXOaj8PK2l7WJ3RER9xtqwdhxkhw/edit?usp=sharing"",""ตราด!I129"")"),0)</f>
        <v>0</v>
      </c>
      <c r="J204" s="285">
        <f ca="1">IFERROR(__xludf.DUMMYFUNCTION("IMPORTRANGE(""https://docs.google.com/spreadsheets/d/1SX6NBoVAgQJ6U1MVXOaj8PK2l7WJ3RER9xtqwdhxkhw/edit?usp=sharing"",""ตราด!J129"")"),0)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IFERROR(__xludf.DUMMYFUNCTION("IMPORTRANGE(""https://docs.google.com/spreadsheets/d/1SX6NBoVAgQJ6U1MVXOaj8PK2l7WJ3RER9xtqwdhxkhw/edit?usp=sharing"",""ตราด!J134"")"),0)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IFERROR(__xludf.DUMMYFUNCTION("IMPORTRANGE(""https://docs.google.com/spreadsheets/d/1SX6NBoVAgQJ6U1MVXOaj8PK2l7WJ3RER9xtqwdhxkhw/edit?usp=sharing"",""ตราด!J135"")"),0)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IFERROR(__xludf.DUMMYFUNCTION("IMPORTRANGE(""https://docs.google.com/spreadsheets/d/1SX6NBoVAgQJ6U1MVXOaj8PK2l7WJ3RER9xtqwdhxkhw/edit?usp=sharing"",""ตราด!J136"")"),0)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IFERROR(__xludf.DUMMYFUNCTION("IMPORTRANGE(""https://docs.google.com/spreadsheets/d/1SX6NBoVAgQJ6U1MVXOaj8PK2l7WJ3RER9xtqwdhxkhw/edit?usp=sharing"",""ตราด!J137"")"),0)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IFERROR(__xludf.DUMMYFUNCTION("IMPORTRANGE(""https://docs.google.com/spreadsheets/d/1SX6NBoVAgQJ6U1MVXOaj8PK2l7WJ3RER9xtqwdhxkhw/edit?usp=sharing"",""ตราด!I138"")"),0)</f>
        <v>0</v>
      </c>
      <c r="J213" s="204">
        <f ca="1">IFERROR(__xludf.DUMMYFUNCTION("IMPORTRANGE(""https://docs.google.com/spreadsheets/d/1SX6NBoVAgQJ6U1MVXOaj8PK2l7WJ3RER9xtqwdhxkhw/edit?usp=sharing"",""ตราด!J138"")"),0)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IFERROR(__xludf.DUMMYFUNCTION("IMPORTRANGE(""https://docs.google.com/spreadsheets/d/1SX6NBoVAgQJ6U1MVXOaj8PK2l7WJ3RER9xtqwdhxkhw/edit?usp=sharing"",""ตราด!I140"")"),0)</f>
        <v>0</v>
      </c>
      <c r="J215" s="204">
        <f ca="1">IFERROR(__xludf.DUMMYFUNCTION("IMPORTRANGE(""https://docs.google.com/spreadsheets/d/1SX6NBoVAgQJ6U1MVXOaj8PK2l7WJ3RER9xtqwdhxkhw/edit?usp=sharing"",""ตราด!J140"")"),0)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IFERROR(__xludf.DUMMYFUNCTION("IMPORTRANGE(""https://docs.google.com/spreadsheets/d/1SX6NBoVAgQJ6U1MVXOaj8PK2l7WJ3RER9xtqwdhxkhw/edit?usp=sharing"",""ตราด!I141"")"),0)</f>
        <v>0</v>
      </c>
      <c r="J216" s="204">
        <f ca="1">IFERROR(__xludf.DUMMYFUNCTION("IMPORTRANGE(""https://docs.google.com/spreadsheets/d/1SX6NBoVAgQJ6U1MVXOaj8PK2l7WJ3RER9xtqwdhxkhw/edit?usp=sharing"",""ตราด!J141"")"),0)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IFERROR(__xludf.DUMMYFUNCTION("IMPORTRANGE(""https://docs.google.com/spreadsheets/d/1SX6NBoVAgQJ6U1MVXOaj8PK2l7WJ3RER9xtqwdhxkhw/edit?usp=sharing"",""ตราด!J142"")"),0)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IFERROR(__xludf.DUMMYFUNCTION("IMPORTRANGE(""https://docs.google.com/spreadsheets/d/1SX6NBoVAgQJ6U1MVXOaj8PK2l7WJ3RER9xtqwdhxkhw/edit?usp=sharing"",""ตราด!J143"")"),0)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IFERROR(__xludf.DUMMYFUNCTION("IMPORTRANGE(""https://docs.google.com/spreadsheets/d/1SX6NBoVAgQJ6U1MVXOaj8PK2l7WJ3RER9xtqwdhxkhw/edit?usp=sharing"",""ตราด!I144"")"),14)</f>
        <v>14</v>
      </c>
      <c r="J219" s="268">
        <f ca="1">IFERROR(__xludf.DUMMYFUNCTION("IMPORTRANGE(""https://docs.google.com/spreadsheets/d/1SX6NBoVAgQJ6U1MVXOaj8PK2l7WJ3RER9xtqwdhxkhw/edit?usp=sharing"",""ตราด!J144"")"),14)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IFERROR(__xludf.DUMMYFUNCTION("IMPORTRANGE(""https://docs.google.com/spreadsheets/d/1Yj_ptqi66GCucihVvJfMjLAmec39IyEx_6qawtMGysU/edit?usp=sharing"",""สบก!BS64"")"),20210)</f>
        <v>20210</v>
      </c>
      <c r="N224" s="169">
        <f ca="1">IFERROR(__xludf.DUMMYFUNCTION("IMPORTRANGE(""https://docs.google.com/spreadsheets/d/1Yj_ptqi66GCucihVvJfMjLAmec39IyEx_6qawtMGysU/edit?usp=sharing"",""สบก!BT64"")"),20210)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IFERROR(__xludf.DUMMYFUNCTION("IMPORTRANGE(""https://docs.google.com/spreadsheets/d/1Yj_ptqi66GCucihVvJfMjLAmec39IyEx_6qawtMGysU/edit?usp=sharing"",""สบก!BP64"")"),20210)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IFERROR(__xludf.DUMMYFUNCTION("IMPORTRANGE(""https://docs.google.com/spreadsheets/d/1SX6NBoVAgQJ6U1MVXOaj8PK2l7WJ3RER9xtqwdhxkhw/edit?usp=sharing"",""ตราด!I149"")"),14)</f>
        <v>14</v>
      </c>
      <c r="J229" s="268">
        <f ca="1">IFERROR(__xludf.DUMMYFUNCTION("IMPORTRANGE(""https://docs.google.com/spreadsheets/d/1SX6NBoVAgQJ6U1MVXOaj8PK2l7WJ3RER9xtqwdhxkhw/edit?usp=sharing"",""ตราด!J149"")"),14)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IFERROR(__xludf.DUMMYFUNCTION("IMPORTRANGE(""https://docs.google.com/spreadsheets/d/1SX6NBoVAgQJ6U1MVXOaj8PK2l7WJ3RER9xtqwdhxkhw/edit?usp=sharing"",""ตราด!J151"")"),0)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IFERROR(__xludf.DUMMYFUNCTION("IMPORTRANGE(""https://docs.google.com/spreadsheets/d/1SX6NBoVAgQJ6U1MVXOaj8PK2l7WJ3RER9xtqwdhxkhw/edit?usp=sharing"",""ตราด!J152"")"),1)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IFERROR(__xludf.DUMMYFUNCTION("IMPORTRANGE(""https://docs.google.com/spreadsheets/d/1SX6NBoVAgQJ6U1MVXOaj8PK2l7WJ3RER9xtqwdhxkhw/edit?usp=sharing"",""ตราด!J153"")"),1)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IFERROR(__xludf.DUMMYFUNCTION("IMPORTRANGE(""https://docs.google.com/spreadsheets/d/1SX6NBoVAgQJ6U1MVXOaj8PK2l7WJ3RER9xtqwdhxkhw/edit?usp=sharing"",""ตราด!J154"")"),1)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IFERROR(__xludf.DUMMYFUNCTION("IMPORTRANGE(""https://docs.google.com/spreadsheets/d/1SX6NBoVAgQJ6U1MVXOaj8PK2l7WJ3RER9xtqwdhxkhw/edit?usp=sharing"",""ตราด!I155"")"),14)</f>
        <v>14</v>
      </c>
      <c r="J235" s="189">
        <f ca="1">IFERROR(__xludf.DUMMYFUNCTION("IMPORTRANGE(""https://docs.google.com/spreadsheets/d/1SX6NBoVAgQJ6U1MVXOaj8PK2l7WJ3RER9xtqwdhxkhw/edit?usp=sharing"",""ตราด!J155"")"),14)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IFERROR(__xludf.DUMMYFUNCTION("IMPORTRANGE(""https://docs.google.com/spreadsheets/d/1SX6NBoVAgQJ6U1MVXOaj8PK2l7WJ3RER9xtqwdhxkhw/edit?usp=sharing"",""ตราด!J156"")"),0)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IFERROR(__xludf.DUMMYFUNCTION("IMPORTRANGE(""https://docs.google.com/spreadsheets/d/1SX6NBoVAgQJ6U1MVXOaj8PK2l7WJ3RER9xtqwdhxkhw/edit?usp=sharing"",""ตราด!J157"")"),0)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IFERROR(__xludf.DUMMYFUNCTION("IMPORTRANGE(""https://docs.google.com/spreadsheets/d/1SX6NBoVAgQJ6U1MVXOaj8PK2l7WJ3RER9xtqwdhxkhw/edit?usp=sharing"",""ตราด!I158"")"),0)</f>
        <v>0</v>
      </c>
      <c r="J238" s="268">
        <f ca="1">IFERROR(__xludf.DUMMYFUNCTION("IMPORTRANGE(""https://docs.google.com/spreadsheets/d/1SX6NBoVAgQJ6U1MVXOaj8PK2l7WJ3RER9xtqwdhxkhw/edit?usp=sharing"",""ตราด!J158"")"),0)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IFERROR(__xludf.DUMMYFUNCTION("IMPORTRANGE(""https://docs.google.com/spreadsheets/d/1SX6NBoVAgQJ6U1MVXOaj8PK2l7WJ3RER9xtqwdhxkhw/edit?usp=sharing"",""ตราด!J159"")"),"")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IFERROR(__xludf.DUMMYFUNCTION("IMPORTRANGE(""https://docs.google.com/spreadsheets/d/1SX6NBoVAgQJ6U1MVXOaj8PK2l7WJ3RER9xtqwdhxkhw/edit?usp=sharing"",""ตราด!J161"")"),0)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IFERROR(__xludf.DUMMYFUNCTION("IMPORTRANGE(""https://docs.google.com/spreadsheets/d/1SX6NBoVAgQJ6U1MVXOaj8PK2l7WJ3RER9xtqwdhxkhw/edit?usp=sharing"",""ตราด!J162"")"),0)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IFERROR(__xludf.DUMMYFUNCTION("IMPORTRANGE(""https://docs.google.com/spreadsheets/d/1SX6NBoVAgQJ6U1MVXOaj8PK2l7WJ3RER9xtqwdhxkhw/edit?usp=sharing"",""ตราด!J163"")"),0)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IFERROR(__xludf.DUMMYFUNCTION("IMPORTRANGE(""https://docs.google.com/spreadsheets/d/1SX6NBoVAgQJ6U1MVXOaj8PK2l7WJ3RER9xtqwdhxkhw/edit?usp=sharing"",""ตราด!I164"")"),0)</f>
        <v>0</v>
      </c>
      <c r="J244" s="188">
        <f ca="1">IFERROR(__xludf.DUMMYFUNCTION("IMPORTRANGE(""https://docs.google.com/spreadsheets/d/1SX6NBoVAgQJ6U1MVXOaj8PK2l7WJ3RER9xtqwdhxkhw/edit?usp=sharing"",""ตราด!J164"")"),0)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IFERROR(__xludf.DUMMYFUNCTION("IMPORTRANGE(""https://docs.google.com/spreadsheets/d/1SX6NBoVAgQJ6U1MVXOaj8PK2l7WJ3RER9xtqwdhxkhw/edit?usp=sharing"",""ตราด!J165"")"),0)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IFERROR(__xludf.DUMMYFUNCTION("IMPORTRANGE(""https://docs.google.com/spreadsheets/d/1SX6NBoVAgQJ6U1MVXOaj8PK2l7WJ3RER9xtqwdhxkhw/edit?usp=sharing"",""ตราด!J166"")"),0)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IFERROR(__xludf.DUMMYFUNCTION("IMPORTRANGE(""https://docs.google.com/spreadsheets/d/1SX6NBoVAgQJ6U1MVXOaj8PK2l7WJ3RER9xtqwdhxkhw/edit?usp=sharing"",""ตราด!I169"")"),0)</f>
        <v>0</v>
      </c>
      <c r="J249" s="317">
        <f ca="1">IFERROR(__xludf.DUMMYFUNCTION("IMPORTRANGE(""https://docs.google.com/spreadsheets/d/1SX6NBoVAgQJ6U1MVXOaj8PK2l7WJ3RER9xtqwdhxkhw/edit?usp=sharing"",""ตราด!J169"")"),0)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IFERROR(__xludf.DUMMYFUNCTION("IMPORTRANGE(""https://docs.google.com/spreadsheets/d/1Yj_ptqi66GCucihVvJfMjLAmec39IyEx_6qawtMGysU/edit?usp=sharing"",""สบก!CB64"")"),0)</f>
        <v>0</v>
      </c>
      <c r="N254" s="169">
        <f ca="1">IFERROR(__xludf.DUMMYFUNCTION("IMPORTRANGE(""https://docs.google.com/spreadsheets/d/1Yj_ptqi66GCucihVvJfMjLAmec39IyEx_6qawtMGysU/edit?usp=sharing"",""สบก!CC64"")"),0)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IFERROR(__xludf.DUMMYFUNCTION("IMPORTRANGE(""https://docs.google.com/spreadsheets/d/1Yj_ptqi66GCucihVvJfMjLAmec39IyEx_6qawtMGysU/edit?usp=sharing"",""สบก!BY64"")"),0)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IFERROR(__xludf.DUMMYFUNCTION("IMPORTRANGE(""https://docs.google.com/spreadsheets/d/1SX6NBoVAgQJ6U1MVXOaj8PK2l7WJ3RER9xtqwdhxkhw/edit?usp=sharing"",""ตราด!J175"")"),0)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IFERROR(__xludf.DUMMYFUNCTION("IMPORTRANGE(""https://docs.google.com/spreadsheets/d/1SX6NBoVAgQJ6U1MVXOaj8PK2l7WJ3RER9xtqwdhxkhw/edit?usp=sharing"",""ตราด!J176"")"),0)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IFERROR(__xludf.DUMMYFUNCTION("IMPORTRANGE(""https://docs.google.com/spreadsheets/d/1SX6NBoVAgQJ6U1MVXOaj8PK2l7WJ3RER9xtqwdhxkhw/edit?usp=sharing"",""ตราด!J177"")"),0)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IFERROR(__xludf.DUMMYFUNCTION("IMPORTRANGE(""https://docs.google.com/spreadsheets/d/1SX6NBoVAgQJ6U1MVXOaj8PK2l7WJ3RER9xtqwdhxkhw/edit?usp=sharing"",""ตราด!J178"")"),0)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IFERROR(__xludf.DUMMYFUNCTION("IMPORTRANGE(""https://docs.google.com/spreadsheets/d/1SX6NBoVAgQJ6U1MVXOaj8PK2l7WJ3RER9xtqwdhxkhw/edit?usp=sharing"",""ตราด!I179"")"),0)</f>
        <v>0</v>
      </c>
      <c r="J264" s="189">
        <f ca="1">IFERROR(__xludf.DUMMYFUNCTION("IMPORTRANGE(""https://docs.google.com/spreadsheets/d/1SX6NBoVAgQJ6U1MVXOaj8PK2l7WJ3RER9xtqwdhxkhw/edit?usp=sharing"",""ตราด!J179"")"),0)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IFERROR(__xludf.DUMMYFUNCTION("IMPORTRANGE(""https://docs.google.com/spreadsheets/d/1SX6NBoVAgQJ6U1MVXOaj8PK2l7WJ3RER9xtqwdhxkhw/edit?usp=sharing"",""ตราด!I180"")"),0)</f>
        <v>0</v>
      </c>
      <c r="J265" s="189">
        <f ca="1">IFERROR(__xludf.DUMMYFUNCTION("IMPORTRANGE(""https://docs.google.com/spreadsheets/d/1SX6NBoVAgQJ6U1MVXOaj8PK2l7WJ3RER9xtqwdhxkhw/edit?usp=sharing"",""ตราด!J180"")"),0)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IFERROR(__xludf.DUMMYFUNCTION("IMPORTRANGE(""https://docs.google.com/spreadsheets/d/1SX6NBoVAgQJ6U1MVXOaj8PK2l7WJ3RER9xtqwdhxkhw/edit?usp=sharing"",""ตราด!I181"")"),0)</f>
        <v>0</v>
      </c>
      <c r="J266" s="189">
        <f ca="1">IFERROR(__xludf.DUMMYFUNCTION("IMPORTRANGE(""https://docs.google.com/spreadsheets/d/1SX6NBoVAgQJ6U1MVXOaj8PK2l7WJ3RER9xtqwdhxkhw/edit?usp=sharing"",""ตราด!J181"")"),0)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IFERROR(__xludf.DUMMYFUNCTION("IMPORTRANGE(""https://docs.google.com/spreadsheets/d/1SX6NBoVAgQJ6U1MVXOaj8PK2l7WJ3RER9xtqwdhxkhw/edit?usp=sharing"",""ตราด!I182"")"),0)</f>
        <v>0</v>
      </c>
      <c r="J267" s="189">
        <f ca="1">IFERROR(__xludf.DUMMYFUNCTION("IMPORTRANGE(""https://docs.google.com/spreadsheets/d/1SX6NBoVAgQJ6U1MVXOaj8PK2l7WJ3RER9xtqwdhxkhw/edit?usp=sharing"",""ตราด!J182"")"),0)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IFERROR(__xludf.DUMMYFUNCTION("IMPORTRANGE(""https://docs.google.com/spreadsheets/d/1SX6NBoVAgQJ6U1MVXOaj8PK2l7WJ3RER9xtqwdhxkhw/edit?usp=sharing"",""ตราด!J183"")"),0)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IFERROR(__xludf.DUMMYFUNCTION("IMPORTRANGE(""https://docs.google.com/spreadsheets/d/1SX6NBoVAgQJ6U1MVXOaj8PK2l7WJ3RER9xtqwdhxkhw/edit?usp=sharing"",""ตราด!J184"")"),0)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IFERROR(__xludf.DUMMYFUNCTION("IMPORTRANGE(""https://docs.google.com/spreadsheets/d/1SX6NBoVAgQJ6U1MVXOaj8PK2l7WJ3RER9xtqwdhxkhw/edit?usp=sharing"",""ตราด!I185"")"),0)</f>
        <v>0</v>
      </c>
      <c r="J270" s="317">
        <f ca="1">IFERROR(__xludf.DUMMYFUNCTION("IMPORTRANGE(""https://docs.google.com/spreadsheets/d/1SX6NBoVAgQJ6U1MVXOaj8PK2l7WJ3RER9xtqwdhxkhw/edit?usp=sharing"",""ตราด!J185"")"),0)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IFERROR(__xludf.DUMMYFUNCTION("IMPORTRANGE(""https://docs.google.com/spreadsheets/d/1Yj_ptqi66GCucihVvJfMjLAmec39IyEx_6qawtMGysU/edit?usp=sharing"",""สบก!CK64"")"),0)</f>
        <v>0</v>
      </c>
      <c r="N275" s="169">
        <f ca="1">IFERROR(__xludf.DUMMYFUNCTION("IMPORTRANGE(""https://docs.google.com/spreadsheets/d/1Yj_ptqi66GCucihVvJfMjLAmec39IyEx_6qawtMGysU/edit?usp=sharing"",""สบก!CL64"")"),0)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IFERROR(__xludf.DUMMYFUNCTION("IMPORTRANGE(""https://docs.google.com/spreadsheets/d/1Yj_ptqi66GCucihVvJfMjLAmec39IyEx_6qawtMGysU/edit?usp=sharing"",""สบก!CG64"")"),0)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IFERROR(__xludf.DUMMYFUNCTION("IMPORTRANGE(""https://docs.google.com/spreadsheets/d/1Yj_ptqi66GCucihVvJfMjLAmec39IyEx_6qawtMGysU/edit?usp=sharing"",""สบก!CH64"")"),0)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IFERROR(__xludf.DUMMYFUNCTION("IMPORTRANGE(""https://docs.google.com/spreadsheets/d/1SX6NBoVAgQJ6U1MVXOaj8PK2l7WJ3RER9xtqwdhxkhw/edit?usp=sharing"",""ตราด!J191"")"),0)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IFERROR(__xludf.DUMMYFUNCTION("IMPORTRANGE(""https://docs.google.com/spreadsheets/d/1SX6NBoVAgQJ6U1MVXOaj8PK2l7WJ3RER9xtqwdhxkhw/edit?usp=sharing"",""ตราด!J192"")"),0)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IFERROR(__xludf.DUMMYFUNCTION("IMPORTRANGE(""https://docs.google.com/spreadsheets/d/1SX6NBoVAgQJ6U1MVXOaj8PK2l7WJ3RER9xtqwdhxkhw/edit?usp=sharing"",""ตราด!J193"")"),0)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IFERROR(__xludf.DUMMYFUNCTION("IMPORTRANGE(""https://docs.google.com/spreadsheets/d/1SX6NBoVAgQJ6U1MVXOaj8PK2l7WJ3RER9xtqwdhxkhw/edit?usp=sharing"",""ตราด!J194"")"),0)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IFERROR(__xludf.DUMMYFUNCTION("IMPORTRANGE(""https://docs.google.com/spreadsheets/d/1SX6NBoVAgQJ6U1MVXOaj8PK2l7WJ3RER9xtqwdhxkhw/edit?usp=sharing"",""ตราด!I195"")"),0)</f>
        <v>0</v>
      </c>
      <c r="J285" s="189">
        <f ca="1">IFERROR(__xludf.DUMMYFUNCTION("IMPORTRANGE(""https://docs.google.com/spreadsheets/d/1SX6NBoVAgQJ6U1MVXOaj8PK2l7WJ3RER9xtqwdhxkhw/edit?usp=sharing"",""ตราด!J195"")"),0)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IFERROR(__xludf.DUMMYFUNCTION("IMPORTRANGE(""https://docs.google.com/spreadsheets/d/1SX6NBoVAgQJ6U1MVXOaj8PK2l7WJ3RER9xtqwdhxkhw/edit?usp=sharing"",""ตราด!J196"")"),0)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IFERROR(__xludf.DUMMYFUNCTION("IMPORTRANGE(""https://docs.google.com/spreadsheets/d/1SX6NBoVAgQJ6U1MVXOaj8PK2l7WJ3RER9xtqwdhxkhw/edit?usp=sharing"",""ตราด!J197"")"),0)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IFERROR(__xludf.DUMMYFUNCTION("IMPORTRANGE(""https://docs.google.com/spreadsheets/d/1SX6NBoVAgQJ6U1MVXOaj8PK2l7WJ3RER9xtqwdhxkhw/edit?usp=sharing"",""ตราด!I199"")"),0)</f>
        <v>0</v>
      </c>
      <c r="J289" s="317">
        <f ca="1">IFERROR(__xludf.DUMMYFUNCTION("IMPORTRANGE(""https://docs.google.com/spreadsheets/d/1SX6NBoVAgQJ6U1MVXOaj8PK2l7WJ3RER9xtqwdhxkhw/edit?usp=sharing"",""ตราด!J199"")"),0)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IFERROR(__xludf.DUMMYFUNCTION("IMPORTRANGE(""https://docs.google.com/spreadsheets/d/1Yj_ptqi66GCucihVvJfMjLAmec39IyEx_6qawtMGysU/edit?usp=sharing"",""สบก!CT64"")"),0)</f>
        <v>0</v>
      </c>
      <c r="N294" s="169">
        <f ca="1">IFERROR(__xludf.DUMMYFUNCTION("IMPORTRANGE(""https://docs.google.com/spreadsheets/d/1Yj_ptqi66GCucihVvJfMjLAmec39IyEx_6qawtMGysU/edit?usp=sharing"",""สบก!CU64"")"),0)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IFERROR(__xludf.DUMMYFUNCTION("IMPORTRANGE(""https://docs.google.com/spreadsheets/d/1SX6NBoVAgQJ6U1MVXOaj8PK2l7WJ3RER9xtqwdhxkhw/edit?usp=sharing"",""ตราด!J205"")"),0)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IFERROR(__xludf.DUMMYFUNCTION("IMPORTRANGE(""https://docs.google.com/spreadsheets/d/1SX6NBoVAgQJ6U1MVXOaj8PK2l7WJ3RER9xtqwdhxkhw/edit?usp=sharing"",""ตราด!J206"")"),0)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IFERROR(__xludf.DUMMYFUNCTION("IMPORTRANGE(""https://docs.google.com/spreadsheets/d/1SX6NBoVAgQJ6U1MVXOaj8PK2l7WJ3RER9xtqwdhxkhw/edit?usp=sharing"",""ตราด!J207"")"),0)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IFERROR(__xludf.DUMMYFUNCTION("IMPORTRANGE(""https://docs.google.com/spreadsheets/d/1SX6NBoVAgQJ6U1MVXOaj8PK2l7WJ3RER9xtqwdhxkhw/edit?usp=sharing"",""ตราด!J208"")"),0)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IFERROR(__xludf.DUMMYFUNCTION("IMPORTRANGE(""https://docs.google.com/spreadsheets/d/1SX6NBoVAgQJ6U1MVXOaj8PK2l7WJ3RER9xtqwdhxkhw/edit?usp=sharing"",""ตราด!I209"")"),0)</f>
        <v>0</v>
      </c>
      <c r="J304" s="204">
        <f ca="1">IFERROR(__xludf.DUMMYFUNCTION("IMPORTRANGE(""https://docs.google.com/spreadsheets/d/1SX6NBoVAgQJ6U1MVXOaj8PK2l7WJ3RER9xtqwdhxkhw/edit?usp=sharing"",""ตราด!J209"")"),0)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IFERROR(__xludf.DUMMYFUNCTION("IMPORTRANGE(""https://docs.google.com/spreadsheets/d/1SX6NBoVAgQJ6U1MVXOaj8PK2l7WJ3RER9xtqwdhxkhw/edit?usp=sharing"",""ตราด!I211"")"),0)</f>
        <v>0</v>
      </c>
      <c r="J306" s="204">
        <f ca="1">IFERROR(__xludf.DUMMYFUNCTION("IMPORTRANGE(""https://docs.google.com/spreadsheets/d/1SX6NBoVAgQJ6U1MVXOaj8PK2l7WJ3RER9xtqwdhxkhw/edit?usp=sharing"",""ตราด!J211"")"),0)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IFERROR(__xludf.DUMMYFUNCTION("IMPORTRANGE(""https://docs.google.com/spreadsheets/d/1SX6NBoVAgQJ6U1MVXOaj8PK2l7WJ3RER9xtqwdhxkhw/edit?usp=sharing"",""ตราด!J212"")"),0)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IFERROR(__xludf.DUMMYFUNCTION("IMPORTRANGE(""https://docs.google.com/spreadsheets/d/1SX6NBoVAgQJ6U1MVXOaj8PK2l7WJ3RER9xtqwdhxkhw/edit?usp=sharing"",""ตราด!J213"")"),0)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IFERROR(__xludf.DUMMYFUNCTION("IMPORTRANGE(""https://docs.google.com/spreadsheets/d/1SX6NBoVAgQJ6U1MVXOaj8PK2l7WJ3RER9xtqwdhxkhw/edit?usp=sharing"",""ตราด!I214"")"),0)</f>
        <v>0</v>
      </c>
      <c r="J309" s="334">
        <f ca="1">IFERROR(__xludf.DUMMYFUNCTION("IMPORTRANGE(""https://docs.google.com/spreadsheets/d/1SX6NBoVAgQJ6U1MVXOaj8PK2l7WJ3RER9xtqwdhxkhw/edit?usp=sharing"",""ตราด!J214"")"),0)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IFERROR(__xludf.DUMMYFUNCTION("IMPORTRANGE(""https://docs.google.com/spreadsheets/d/1Yj_ptqi66GCucihVvJfMjLAmec39IyEx_6qawtMGysU/edit?usp=sharing"",""สบก!DC64"")"),0)</f>
        <v>0</v>
      </c>
      <c r="N314" s="169">
        <f ca="1">IFERROR(__xludf.DUMMYFUNCTION("IMPORTRANGE(""https://docs.google.com/spreadsheets/d/1Yj_ptqi66GCucihVvJfMjLAmec39IyEx_6qawtMGysU/edit?usp=sharing"",""สบก!DD64"")"),0)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IFERROR(__xludf.DUMMYFUNCTION("IMPORTRANGE(""https://docs.google.com/spreadsheets/d/1SX6NBoVAgQJ6U1MVXOaj8PK2l7WJ3RER9xtqwdhxkhw/edit?usp=sharing"",""ตราด!J220"")"),0)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IFERROR(__xludf.DUMMYFUNCTION("IMPORTRANGE(""https://docs.google.com/spreadsheets/d/1SX6NBoVAgQJ6U1MVXOaj8PK2l7WJ3RER9xtqwdhxkhw/edit?usp=sharing"",""ตราด!J221"")"),0)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IFERROR(__xludf.DUMMYFUNCTION("IMPORTRANGE(""https://docs.google.com/spreadsheets/d/1SX6NBoVAgQJ6U1MVXOaj8PK2l7WJ3RER9xtqwdhxkhw/edit?usp=sharing"",""ตราด!J222"")"),0)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IFERROR(__xludf.DUMMYFUNCTION("IMPORTRANGE(""https://docs.google.com/spreadsheets/d/1SX6NBoVAgQJ6U1MVXOaj8PK2l7WJ3RER9xtqwdhxkhw/edit?usp=sharing"",""ตราด!J223"")"),0)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IFERROR(__xludf.DUMMYFUNCTION("IMPORTRANGE(""https://docs.google.com/spreadsheets/d/1SX6NBoVAgQJ6U1MVXOaj8PK2l7WJ3RER9xtqwdhxkhw/edit?usp=sharing"",""ตราด!I224"")"),0)</f>
        <v>0</v>
      </c>
      <c r="J324" s="204">
        <f ca="1">IFERROR(__xludf.DUMMYFUNCTION("IMPORTRANGE(""https://docs.google.com/spreadsheets/d/1SX6NBoVAgQJ6U1MVXOaj8PK2l7WJ3RER9xtqwdhxkhw/edit?usp=sharing"",""ตราด!J224"")"),0)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IFERROR(__xludf.DUMMYFUNCTION("IMPORTRANGE(""https://docs.google.com/spreadsheets/d/1SX6NBoVAgQJ6U1MVXOaj8PK2l7WJ3RER9xtqwdhxkhw/edit?usp=sharing"",""ตราด!J225"")"),0)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IFERROR(__xludf.DUMMYFUNCTION("IMPORTRANGE(""https://docs.google.com/spreadsheets/d/1SX6NBoVAgQJ6U1MVXOaj8PK2l7WJ3RER9xtqwdhxkhw/edit?usp=sharing"",""ตราด!J226"")"),0)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IFERROR(__xludf.DUMMYFUNCTION("IMPORTRANGE(""https://docs.google.com/spreadsheets/d/1SX6NBoVAgQJ6U1MVXOaj8PK2l7WJ3RER9xtqwdhxkhw/edit?usp=sharing"",""ตราด!I228"")"),170)</f>
        <v>170</v>
      </c>
      <c r="J328" s="340">
        <f ca="1">IFERROR(__xludf.DUMMYFUNCTION("IMPORTRANGE(""https://docs.google.com/spreadsheets/d/1SX6NBoVAgQJ6U1MVXOaj8PK2l7WJ3RER9xtqwdhxkhw/edit?usp=sharing"",""ตราด!J228"")"),62)</f>
        <v>62</v>
      </c>
      <c r="K328" s="318">
        <f ca="1">IF(I328&gt;0,J328*100/I328,0)</f>
        <v>36.470588235294116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816030</v>
      </c>
      <c r="M329" s="152">
        <f t="shared" ca="1" si="98"/>
        <v>601240</v>
      </c>
      <c r="N329" s="152">
        <f t="shared" ca="1" si="98"/>
        <v>538960</v>
      </c>
      <c r="O329" s="151">
        <f t="shared" ref="O329:O331" ca="1" si="99">IF(L329&gt;0,N329*100/L329,0)</f>
        <v>66.046591424334892</v>
      </c>
      <c r="P329" s="151">
        <f t="shared" ref="P329:P331" ca="1" si="100">IF(M329&gt;0,N329*100/M329,0)</f>
        <v>89.641407757301579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816030</v>
      </c>
      <c r="M331" s="157">
        <f t="shared" ca="1" si="102"/>
        <v>601240</v>
      </c>
      <c r="N331" s="157">
        <f t="shared" ca="1" si="102"/>
        <v>538960</v>
      </c>
      <c r="O331" s="156">
        <f t="shared" ca="1" si="99"/>
        <v>66.046591424334892</v>
      </c>
      <c r="P331" s="156">
        <f t="shared" ca="1" si="100"/>
        <v>89.641407757301579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816030</v>
      </c>
      <c r="M333" s="168">
        <f ca="1">IFERROR(__xludf.DUMMYFUNCTION("IMPORTRANGE(""https://docs.google.com/spreadsheets/d/1Yj_ptqi66GCucihVvJfMjLAmec39IyEx_6qawtMGysU/edit?usp=sharing"",""สบก!DL64"")"),601240)</f>
        <v>601240</v>
      </c>
      <c r="N333" s="169">
        <f ca="1">IFERROR(__xludf.DUMMYFUNCTION("IMPORTRANGE(""https://docs.google.com/spreadsheets/d/1Yj_ptqi66GCucihVvJfMjLAmec39IyEx_6qawtMGysU/edit?usp=sharing"",""สบก!DM64"")"),538960)</f>
        <v>538960</v>
      </c>
      <c r="O333" s="169">
        <f ca="1">IF(L333&gt;0,N333*100/L333,0)</f>
        <v>66.046591424334892</v>
      </c>
      <c r="P333" s="169">
        <f ca="1">IF(M333&gt;0,N333*100/M333,0)</f>
        <v>89.641407757301579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IFERROR(__xludf.DUMMYFUNCTION("IMPORTRANGE(""https://docs.google.com/spreadsheets/d/1Yj_ptqi66GCucihVvJfMjLAmec39IyEx_6qawtMGysU/edit?usp=sharing"",""สบก!DH64"")"),493800)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IFERROR(__xludf.DUMMYFUNCTION("IMPORTRANGE(""https://docs.google.com/spreadsheets/d/1Yj_ptqi66GCucihVvJfMjLAmec39IyEx_6qawtMGysU/edit?usp=sharing"",""สบก!DI64"")"),322230)</f>
        <v>322230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IFERROR(__xludf.DUMMYFUNCTION("IMPORTRANGE(""https://docs.google.com/spreadsheets/d/1SX6NBoVAgQJ6U1MVXOaj8PK2l7WJ3RER9xtqwdhxkhw/edit?usp=sharing"",""ตราด!I234"")"),0)</f>
        <v>0</v>
      </c>
      <c r="J339" s="188">
        <f ca="1">IFERROR(__xludf.DUMMYFUNCTION("IMPORTRANGE(""https://docs.google.com/spreadsheets/d/1SX6NBoVAgQJ6U1MVXOaj8PK2l7WJ3RER9xtqwdhxkhw/edit?usp=sharing"",""ตราด!J234"")"),34)</f>
        <v>34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IFERROR(__xludf.DUMMYFUNCTION("IMPORTRANGE(""https://docs.google.com/spreadsheets/d/1SX6NBoVAgQJ6U1MVXOaj8PK2l7WJ3RER9xtqwdhxkhw/edit?usp=sharing"",""ตราด!I235"")"),1600)</f>
        <v>1600</v>
      </c>
      <c r="J340" s="188">
        <f ca="1">IFERROR(__xludf.DUMMYFUNCTION("IMPORTRANGE(""https://docs.google.com/spreadsheets/d/1SX6NBoVAgQJ6U1MVXOaj8PK2l7WJ3RER9xtqwdhxkhw/edit?usp=sharing"",""ตราด!J235"")"),353.4)</f>
        <v>353.4</v>
      </c>
      <c r="K340" s="343">
        <f t="shared" ca="1" si="103"/>
        <v>22.087499999999999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IFERROR(__xludf.DUMMYFUNCTION("IMPORTRANGE(""https://docs.google.com/spreadsheets/d/1SX6NBoVAgQJ6U1MVXOaj8PK2l7WJ3RER9xtqwdhxkhw/edit?usp=sharing"",""ตราด!I236"")"),170)</f>
        <v>170</v>
      </c>
      <c r="J341" s="188">
        <f ca="1">IFERROR(__xludf.DUMMYFUNCTION("IMPORTRANGE(""https://docs.google.com/spreadsheets/d/1SX6NBoVAgQJ6U1MVXOaj8PK2l7WJ3RER9xtqwdhxkhw/edit?usp=sharing"",""ตราด!J236"")"),65)</f>
        <v>65</v>
      </c>
      <c r="K341" s="343">
        <f t="shared" ca="1" si="103"/>
        <v>38.235294117647058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8">
        <f ca="1">IFERROR(__xludf.DUMMYFUNCTION("IMPORTRANGE(""https://docs.google.com/spreadsheets/d/1SX6NBoVAgQJ6U1MVXOaj8PK2l7WJ3RER9xtqwdhxkhw/edit?usp=sharing"",""ตราด!J237"")"),1148.84)</f>
        <v>1148.8399999999999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IFERROR(__xludf.DUMMYFUNCTION("IMPORTRANGE(""https://docs.google.com/spreadsheets/d/1SX6NBoVAgQJ6U1MVXOaj8PK2l7WJ3RER9xtqwdhxkhw/edit?usp=sharing"",""ตราด!I238"")"),170)</f>
        <v>170</v>
      </c>
      <c r="J343" s="188">
        <f ca="1">IFERROR(__xludf.DUMMYFUNCTION("IMPORTRANGE(""https://docs.google.com/spreadsheets/d/1SX6NBoVAgQJ6U1MVXOaj8PK2l7WJ3RER9xtqwdhxkhw/edit?usp=sharing"",""ตราด!J238"")"),0)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8">
        <f ca="1">IFERROR(__xludf.DUMMYFUNCTION("IMPORTRANGE(""https://docs.google.com/spreadsheets/d/1SX6NBoVAgQJ6U1MVXOaj8PK2l7WJ3RER9xtqwdhxkhw/edit?usp=sharing"",""ตราด!J239"")"),0)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IFERROR(__xludf.DUMMYFUNCTION("IMPORTRANGE(""https://docs.google.com/spreadsheets/d/1SX6NBoVAgQJ6U1MVXOaj8PK2l7WJ3RER9xtqwdhxkhw/edit?usp=sharing"",""ตราด!I240"")"),170)</f>
        <v>170</v>
      </c>
      <c r="J345" s="188">
        <f ca="1">IFERROR(__xludf.DUMMYFUNCTION("IMPORTRANGE(""https://docs.google.com/spreadsheets/d/1SX6NBoVAgQJ6U1MVXOaj8PK2l7WJ3RER9xtqwdhxkhw/edit?usp=sharing"",""ตราด!J240"")"),62)</f>
        <v>62</v>
      </c>
      <c r="K345" s="343">
        <f t="shared" ca="1" si="103"/>
        <v>36.470588235294116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8">
        <f ca="1">IFERROR(__xludf.DUMMYFUNCTION("IMPORTRANGE(""https://docs.google.com/spreadsheets/d/1SX6NBoVAgQJ6U1MVXOaj8PK2l7WJ3RER9xtqwdhxkhw/edit?usp=sharing"",""ตราด!J241"")"),1100.32)</f>
        <v>1100.32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IFERROR(__xludf.DUMMYFUNCTION("IMPORTRANGE(""https://docs.google.com/spreadsheets/d/1SX6NBoVAgQJ6U1MVXOaj8PK2l7WJ3RER9xtqwdhxkhw/edit?usp=sharing"",""ตราด!L242"")"),628342)</f>
        <v>628342</v>
      </c>
      <c r="M347" s="358"/>
      <c r="N347" s="358">
        <f ca="1">IFERROR(__xludf.DUMMYFUNCTION("IMPORTRANGE(""https://docs.google.com/spreadsheets/d/1SX6NBoVAgQJ6U1MVXOaj8PK2l7WJ3RER9xtqwdhxkhw/edit?usp=sharing"",""ตราด!M242"")"),463711)</f>
        <v>463711</v>
      </c>
      <c r="O347" s="358">
        <f ca="1">+IF(L347&gt;0,N347*100/L347,0)</f>
        <v>73.799141232004231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IFERROR(__xludf.DUMMYFUNCTION("IMPORTRANGE(""https://docs.google.com/spreadsheets/d/1SX6NBoVAgQJ6U1MVXOaj8PK2l7WJ3RER9xtqwdhxkhw/edit?usp=sharing"",""ตราด!L246"")"),0)</f>
        <v>0</v>
      </c>
      <c r="M351" s="164"/>
      <c r="N351" s="164">
        <f ca="1">IFERROR(__xludf.DUMMYFUNCTION("IMPORTRANGE(""https://docs.google.com/spreadsheets/d/1SX6NBoVAgQJ6U1MVXOaj8PK2l7WJ3RER9xtqwdhxkhw/edit?usp=sharing"",""ตราด!M246"")"),0)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IFERROR(__xludf.DUMMYFUNCTION("IMPORTRANGE(""https://docs.google.com/spreadsheets/d/1SX6NBoVAgQJ6U1MVXOaj8PK2l7WJ3RER9xtqwdhxkhw/edit?usp=sharing"",""ตราด!L247"")"),0)</f>
        <v>0</v>
      </c>
      <c r="M352" s="165"/>
      <c r="N352" s="164">
        <f ca="1">IFERROR(__xludf.DUMMYFUNCTION("IMPORTRANGE(""https://docs.google.com/spreadsheets/d/1SX6NBoVAgQJ6U1MVXOaj8PK2l7WJ3RER9xtqwdhxkhw/edit?usp=sharing"",""ตราด!M247"")"),0)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IFERROR(__xludf.DUMMYFUNCTION("IMPORTRANGE(""https://docs.google.com/spreadsheets/d/1SX6NBoVAgQJ6U1MVXOaj8PK2l7WJ3RER9xtqwdhxkhw/edit?usp=sharing"",""ตราด!L248"")"),0)</f>
        <v>0</v>
      </c>
      <c r="M353" s="169"/>
      <c r="N353" s="169">
        <f ca="1">IFERROR(__xludf.DUMMYFUNCTION("IMPORTRANGE(""https://docs.google.com/spreadsheets/d/1SX6NBoVAgQJ6U1MVXOaj8PK2l7WJ3RER9xtqwdhxkhw/edit?usp=sharing"",""ตราด!M248"")"),0)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IFERROR(__xludf.DUMMYFUNCTION("IMPORTRANGE(""https://docs.google.com/spreadsheets/d/1SX6NBoVAgQJ6U1MVXOaj8PK2l7WJ3RER9xtqwdhxkhw/edit?usp=sharing"",""ตราด!L249"")"),0)</f>
        <v>0</v>
      </c>
      <c r="M354" s="169"/>
      <c r="N354" s="168">
        <f ca="1">IFERROR(__xludf.DUMMYFUNCTION("IMPORTRANGE(""https://docs.google.com/spreadsheets/d/1SX6NBoVAgQJ6U1MVXOaj8PK2l7WJ3RER9xtqwdhxkhw/edit?usp=sharing"",""ตราด!M249"")"),0)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IFERROR(__xludf.DUMMYFUNCTION("IMPORTRANGE(""https://docs.google.com/spreadsheets/d/1SX6NBoVAgQJ6U1MVXOaj8PK2l7WJ3RER9xtqwdhxkhw/edit?usp=sharing"",""ตราด!M250"")"),0)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IFERROR(__xludf.DUMMYFUNCTION("IMPORTRANGE(""https://docs.google.com/spreadsheets/d/1SX6NBoVAgQJ6U1MVXOaj8PK2l7WJ3RER9xtqwdhxkhw/edit?usp=sharing"",""ตราด!M251"")"),0)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IFERROR(__xludf.DUMMYFUNCTION("IMPORTRANGE(""https://docs.google.com/spreadsheets/d/1SX6NBoVAgQJ6U1MVXOaj8PK2l7WJ3RER9xtqwdhxkhw/edit?usp=sharing"",""ตราด!M252"")"),0)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IFERROR(__xludf.DUMMYFUNCTION("IMPORTRANGE(""https://docs.google.com/spreadsheets/d/1SX6NBoVAgQJ6U1MVXOaj8PK2l7WJ3RER9xtqwdhxkhw/edit?usp=sharing"",""ตราด!M253"")"),0)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IFERROR(__xludf.DUMMYFUNCTION("IMPORTRANGE(""https://docs.google.com/spreadsheets/d/1SX6NBoVAgQJ6U1MVXOaj8PK2l7WJ3RER9xtqwdhxkhw/edit?usp=sharing"",""ตราด!J255"")"),0)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IFERROR(__xludf.DUMMYFUNCTION("IMPORTRANGE(""https://docs.google.com/spreadsheets/d/1SX6NBoVAgQJ6U1MVXOaj8PK2l7WJ3RER9xtqwdhxkhw/edit?usp=sharing"",""ตราด!J256"")"),0)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IFERROR(__xludf.DUMMYFUNCTION("IMPORTRANGE(""https://docs.google.com/spreadsheets/d/1SX6NBoVAgQJ6U1MVXOaj8PK2l7WJ3RER9xtqwdhxkhw/edit?usp=sharing"",""ตราด!J257"")"),0)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IFERROR(__xludf.DUMMYFUNCTION("IMPORTRANGE(""https://docs.google.com/spreadsheets/d/1SX6NBoVAgQJ6U1MVXOaj8PK2l7WJ3RER9xtqwdhxkhw/edit?usp=sharing"",""ตราด!J258"")"),0)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IFERROR(__xludf.DUMMYFUNCTION("IMPORTRANGE(""https://docs.google.com/spreadsheets/d/1SX6NBoVAgQJ6U1MVXOaj8PK2l7WJ3RER9xtqwdhxkhw/edit?usp=sharing"",""ตราด!J166"")"),0)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IFERROR(__xludf.DUMMYFUNCTION("IMPORTRANGE(""https://docs.google.com/spreadsheets/d/1SX6NBoVAgQJ6U1MVXOaj8PK2l7WJ3RER9xtqwdhxkhw/edit?usp=sharing"",""ตราด!J166"")"),0)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IFERROR(__xludf.DUMMYFUNCTION("IMPORTRANGE(""https://docs.google.com/spreadsheets/d/1SX6NBoVAgQJ6U1MVXOaj8PK2l7WJ3RER9xtqwdhxkhw/edit?usp=sharing"",""ตราด!J166"")"),0)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IFERROR(__xludf.DUMMYFUNCTION("IMPORTRANGE(""https://docs.google.com/spreadsheets/d/1SX6NBoVAgQJ6U1MVXOaj8PK2l7WJ3RER9xtqwdhxkhw/edit?usp=sharing"",""ตราด!J166"")"),0)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IFERROR(__xludf.DUMMYFUNCTION("IMPORTRANGE(""https://docs.google.com/spreadsheets/d/1SX6NBoVAgQJ6U1MVXOaj8PK2l7WJ3RER9xtqwdhxkhw/edit?usp=sharing"",""ตราด!I263"")"),0)</f>
        <v>0</v>
      </c>
      <c r="J368" s="188">
        <f ca="1">IFERROR(__xludf.DUMMYFUNCTION("IMPORTRANGE(""https://docs.google.com/spreadsheets/d/1SX6NBoVAgQJ6U1MVXOaj8PK2l7WJ3RER9xtqwdhxkhw/edit?usp=sharing"",""ตราด!J263"")"),0)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IFERROR(__xludf.DUMMYFUNCTION("IMPORTRANGE(""https://docs.google.com/spreadsheets/d/1SX6NBoVAgQJ6U1MVXOaj8PK2l7WJ3RER9xtqwdhxkhw/edit?usp=sharing"",""ตราด!I164"")"),0)</f>
        <v>0</v>
      </c>
      <c r="J369" s="204">
        <f ca="1">IFERROR(__xludf.DUMMYFUNCTION("IMPORTRANGE(""https://docs.google.com/spreadsheets/d/1SX6NBoVAgQJ6U1MVXOaj8PK2l7WJ3RER9xtqwdhxkhw/edit?usp=sharing"",""ตราด!J164"")"),0)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IFERROR(__xludf.DUMMYFUNCTION("IMPORTRANGE(""https://docs.google.com/spreadsheets/d/1SX6NBoVAgQJ6U1MVXOaj8PK2l7WJ3RER9xtqwdhxkhw/edit?usp=sharing"",""ตราด!I265"")"),0)</f>
        <v>0</v>
      </c>
      <c r="J370" s="204">
        <f ca="1">IFERROR(__xludf.DUMMYFUNCTION("IMPORTRANGE(""https://docs.google.com/spreadsheets/d/1SX6NBoVAgQJ6U1MVXOaj8PK2l7WJ3RER9xtqwdhxkhw/edit?usp=sharing"",""ตราด!J265"")"),0)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IFERROR(__xludf.DUMMYFUNCTION("IMPORTRANGE(""https://docs.google.com/spreadsheets/d/1SX6NBoVAgQJ6U1MVXOaj8PK2l7WJ3RER9xtqwdhxkhw/edit?usp=sharing"",""ตราด!I164"")"),0)</f>
        <v>0</v>
      </c>
      <c r="J371" s="189">
        <f ca="1">IFERROR(__xludf.DUMMYFUNCTION("IMPORTRANGE(""https://docs.google.com/spreadsheets/d/1SX6NBoVAgQJ6U1MVXOaj8PK2l7WJ3RER9xtqwdhxkhw/edit?usp=sharing"",""ตราด!J164"")"),0)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IFERROR(__xludf.DUMMYFUNCTION("IMPORTRANGE(""https://docs.google.com/spreadsheets/d/1SX6NBoVAgQJ6U1MVXOaj8PK2l7WJ3RER9xtqwdhxkhw/edit?usp=sharing"",""ตราด!I267"")"),0)</f>
        <v>0</v>
      </c>
      <c r="J372" s="189">
        <f ca="1">IFERROR(__xludf.DUMMYFUNCTION("IMPORTRANGE(""https://docs.google.com/spreadsheets/d/1SX6NBoVAgQJ6U1MVXOaj8PK2l7WJ3RER9xtqwdhxkhw/edit?usp=sharing"",""ตราด!J267"")"),0)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IFERROR(__xludf.DUMMYFUNCTION("IMPORTRANGE(""https://docs.google.com/spreadsheets/d/1SX6NBoVAgQJ6U1MVXOaj8PK2l7WJ3RER9xtqwdhxkhw/edit?usp=sharing"",""ตราด!I164"")"),0)</f>
        <v>0</v>
      </c>
      <c r="J373" s="204">
        <f ca="1">IFERROR(__xludf.DUMMYFUNCTION("IMPORTRANGE(""https://docs.google.com/spreadsheets/d/1SX6NBoVAgQJ6U1MVXOaj8PK2l7WJ3RER9xtqwdhxkhw/edit?usp=sharing"",""ตราด!J164"")"),0)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IFERROR(__xludf.DUMMYFUNCTION("IMPORTRANGE(""https://docs.google.com/spreadsheets/d/1SX6NBoVAgQJ6U1MVXOaj8PK2l7WJ3RER9xtqwdhxkhw/edit?usp=sharing"",""ตราด!I164"")"),0)</f>
        <v>0</v>
      </c>
      <c r="J374" s="188">
        <f ca="1">IFERROR(__xludf.DUMMYFUNCTION("IMPORTRANGE(""https://docs.google.com/spreadsheets/d/1SX6NBoVAgQJ6U1MVXOaj8PK2l7WJ3RER9xtqwdhxkhw/edit?usp=sharing"",""ตราด!J164"")"),0)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IFERROR(__xludf.DUMMYFUNCTION("IMPORTRANGE(""https://docs.google.com/spreadsheets/d/1SX6NBoVAgQJ6U1MVXOaj8PK2l7WJ3RER9xtqwdhxkhw/edit?usp=sharing"",""ตราด!I270"")"),0)</f>
        <v>0</v>
      </c>
      <c r="J375" s="188">
        <f ca="1">IFERROR(__xludf.DUMMYFUNCTION("IMPORTRANGE(""https://docs.google.com/spreadsheets/d/1SX6NBoVAgQJ6U1MVXOaj8PK2l7WJ3RER9xtqwdhxkhw/edit?usp=sharing"",""ตราด!J270"")"),0)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IFERROR(__xludf.DUMMYFUNCTION("IMPORTRANGE(""https://docs.google.com/spreadsheets/d/1SX6NBoVAgQJ6U1MVXOaj8PK2l7WJ3RER9xtqwdhxkhw/edit?usp=sharing"",""ตราด!I271"")"),0)</f>
        <v>0</v>
      </c>
      <c r="J376" s="189">
        <f ca="1">IFERROR(__xludf.DUMMYFUNCTION("IMPORTRANGE(""https://docs.google.com/spreadsheets/d/1SX6NBoVAgQJ6U1MVXOaj8PK2l7WJ3RER9xtqwdhxkhw/edit?usp=sharing"",""ตราด!J271"")"),0)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IFERROR(__xludf.DUMMYFUNCTION("IMPORTRANGE(""https://docs.google.com/spreadsheets/d/1SX6NBoVAgQJ6U1MVXOaj8PK2l7WJ3RER9xtqwdhxkhw/edit?usp=sharing"",""ตราด!I272"")"),0)</f>
        <v>0</v>
      </c>
      <c r="J377" s="204">
        <f ca="1">IFERROR(__xludf.DUMMYFUNCTION("IMPORTRANGE(""https://docs.google.com/spreadsheets/d/1SX6NBoVAgQJ6U1MVXOaj8PK2l7WJ3RER9xtqwdhxkhw/edit?usp=sharing"",""ตราด!J272"")"),0)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IFERROR(__xludf.DUMMYFUNCTION("IMPORTRANGE(""https://docs.google.com/spreadsheets/d/1SX6NBoVAgQJ6U1MVXOaj8PK2l7WJ3RER9xtqwdhxkhw/edit?usp=sharing"",""ตราด!J273"")"),0)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IFERROR(__xludf.DUMMYFUNCTION("IMPORTRANGE(""https://docs.google.com/spreadsheets/d/1SX6NBoVAgQJ6U1MVXOaj8PK2l7WJ3RER9xtqwdhxkhw/edit?usp=sharing"",""ตราด!J274"")"),0)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IFERROR(__xludf.DUMMYFUNCTION("IMPORTRANGE(""https://docs.google.com/spreadsheets/d/1SX6NBoVAgQJ6U1MVXOaj8PK2l7WJ3RER9xtqwdhxkhw/edit?usp=sharing"",""ตราด!M275"")"),195469)</f>
        <v>195469</v>
      </c>
      <c r="O380" s="373">
        <f ca="1">+IF(L380&gt;0,N380*100/L380,0)</f>
        <v>94.174696473308927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IFERROR(__xludf.DUMMYFUNCTION("IMPORTRANGE(""https://docs.google.com/spreadsheets/d/1SX6NBoVAgQJ6U1MVXOaj8PK2l7WJ3RER9xtqwdhxkhw/edit?usp=sharing"",""ตราด!L277"")"),0)</f>
        <v>0</v>
      </c>
      <c r="M382" s="164"/>
      <c r="N382" s="164">
        <f ca="1">IFERROR(__xludf.DUMMYFUNCTION("IMPORTRANGE(""https://docs.google.com/spreadsheets/d/1SX6NBoVAgQJ6U1MVXOaj8PK2l7WJ3RER9xtqwdhxkhw/edit?usp=sharing"",""ตราด!M277"")"),0)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IFERROR(__xludf.DUMMYFUNCTION("IMPORTRANGE(""https://docs.google.com/spreadsheets/d/1SX6NBoVAgQJ6U1MVXOaj8PK2l7WJ3RER9xtqwdhxkhw/edit?usp=sharing"",""ตราด!L278"")"),207560)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IFERROR(__xludf.DUMMYFUNCTION("IMPORTRANGE(""https://docs.google.com/spreadsheets/d/1SX6NBoVAgQJ6U1MVXOaj8PK2l7WJ3RER9xtqwdhxkhw/edit?usp=sharing"",""ตราด!M278"")"),195469)</f>
        <v>195469</v>
      </c>
      <c r="O383" s="165">
        <f t="shared" ca="1" si="109"/>
        <v>94.174696473308927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IFERROR(__xludf.DUMMYFUNCTION("IMPORTRANGE(""https://docs.google.com/spreadsheets/d/1SX6NBoVAgQJ6U1MVXOaj8PK2l7WJ3RER9xtqwdhxkhw/edit?usp=sharing"",""ตราด!L279"")"),0)</f>
        <v>0</v>
      </c>
      <c r="M384" s="169"/>
      <c r="N384" s="169">
        <f ca="1">IFERROR(__xludf.DUMMYFUNCTION("IMPORTRANGE(""https://docs.google.com/spreadsheets/d/1SX6NBoVAgQJ6U1MVXOaj8PK2l7WJ3RER9xtqwdhxkhw/edit?usp=sharing"",""ตราด!M279"")"),0)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IFERROR(__xludf.DUMMYFUNCTION("IMPORTRANGE(""https://docs.google.com/spreadsheets/d/1SX6NBoVAgQJ6U1MVXOaj8PK2l7WJ3RER9xtqwdhxkhw/edit?usp=sharing"",""ตราด!L280"")"),207560)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IFERROR(__xludf.DUMMYFUNCTION("IMPORTRANGE(""https://docs.google.com/spreadsheets/d/1SX6NBoVAgQJ6U1MVXOaj8PK2l7WJ3RER9xtqwdhxkhw/edit?usp=sharing"",""ตราด!M280"")"),195469)</f>
        <v>195469</v>
      </c>
      <c r="O385" s="169">
        <f t="shared" ca="1" si="109"/>
        <v>94.174696473308927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IFERROR(__xludf.DUMMYFUNCTION("IMPORTRANGE(""https://docs.google.com/spreadsheets/d/1SX6NBoVAgQJ6U1MVXOaj8PK2l7WJ3RER9xtqwdhxkhw/edit?usp=sharing"",""ตราด!M282"")"),125000)</f>
        <v>125000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IFERROR(__xludf.DUMMYFUNCTION("IMPORTRANGE(""https://docs.google.com/spreadsheets/d/1SX6NBoVAgQJ6U1MVXOaj8PK2l7WJ3RER9xtqwdhxkhw/edit?usp=sharing"",""ตราด!M283"")"),0)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IFERROR(__xludf.DUMMYFUNCTION("IMPORTRANGE(""https://docs.google.com/spreadsheets/d/1SX6NBoVAgQJ6U1MVXOaj8PK2l7WJ3RER9xtqwdhxkhw/edit?usp=sharing"",""ตราด!M284"")"),11669)</f>
        <v>11669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IFERROR(__xludf.DUMMYFUNCTION("IMPORTRANGE(""https://docs.google.com/spreadsheets/d/1SX6NBoVAgQJ6U1MVXOaj8PK2l7WJ3RER9xtqwdhxkhw/edit?usp=sharing"",""ตราด!J286"")"),0)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IFERROR(__xludf.DUMMYFUNCTION("IMPORTRANGE(""https://docs.google.com/spreadsheets/d/1SX6NBoVAgQJ6U1MVXOaj8PK2l7WJ3RER9xtqwdhxkhw/edit?usp=sharing"",""ตราด!J287"")"),1)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IFERROR(__xludf.DUMMYFUNCTION("IMPORTRANGE(""https://docs.google.com/spreadsheets/d/1SX6NBoVAgQJ6U1MVXOaj8PK2l7WJ3RER9xtqwdhxkhw/edit?usp=sharing"",""ตราด!J288"")"),1)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IFERROR(__xludf.DUMMYFUNCTION("IMPORTRANGE(""https://docs.google.com/spreadsheets/d/1SX6NBoVAgQJ6U1MVXOaj8PK2l7WJ3RER9xtqwdhxkhw/edit?usp=sharing"",""ตราด!J289"")"),1)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IFERROR(__xludf.DUMMYFUNCTION("IMPORTRANGE(""https://docs.google.com/spreadsheets/d/1SX6NBoVAgQJ6U1MVXOaj8PK2l7WJ3RER9xtqwdhxkhw/edit?usp=sharing"",""ตราด!I291"")"),20)</f>
        <v>20</v>
      </c>
      <c r="J396" s="198">
        <f ca="1">IFERROR(__xludf.DUMMYFUNCTION("IMPORTRANGE(""https://docs.google.com/spreadsheets/d/1SX6NBoVAgQJ6U1MVXOaj8PK2l7WJ3RER9xtqwdhxkhw/edit?usp=sharing"",""ตราด!J291"")"),20)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IFERROR(__xludf.DUMMYFUNCTION("IMPORTRANGE(""https://docs.google.com/spreadsheets/d/1SX6NBoVAgQJ6U1MVXOaj8PK2l7WJ3RER9xtqwdhxkhw/edit?usp=sharing"",""ตราด!I292"")"),200)</f>
        <v>200</v>
      </c>
      <c r="J397" s="198">
        <f ca="1">IFERROR(__xludf.DUMMYFUNCTION("IMPORTRANGE(""https://docs.google.com/spreadsheets/d/1SX6NBoVAgQJ6U1MVXOaj8PK2l7WJ3RER9xtqwdhxkhw/edit?usp=sharing"",""ตราด!J292"")"),200)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IFERROR(__xludf.DUMMYFUNCTION("IMPORTRANGE(""https://docs.google.com/spreadsheets/d/1SX6NBoVAgQJ6U1MVXOaj8PK2l7WJ3RER9xtqwdhxkhw/edit?usp=sharing"",""ตราด!I293"")"),20)</f>
        <v>20</v>
      </c>
      <c r="J398" s="198">
        <f ca="1">IFERROR(__xludf.DUMMYFUNCTION("IMPORTRANGE(""https://docs.google.com/spreadsheets/d/1SX6NBoVAgQJ6U1MVXOaj8PK2l7WJ3RER9xtqwdhxkhw/edit?usp=sharing"",""ตราด!J293"")"),20)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IFERROR(__xludf.DUMMYFUNCTION("IMPORTRANGE(""https://docs.google.com/spreadsheets/d/1SX6NBoVAgQJ6U1MVXOaj8PK2l7WJ3RER9xtqwdhxkhw/edit?usp=sharing"",""ตราด!J294"")"),0)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IFERROR(__xludf.DUMMYFUNCTION("IMPORTRANGE(""https://docs.google.com/spreadsheets/d/1SX6NBoVAgQJ6U1MVXOaj8PK2l7WJ3RER9xtqwdhxkhw/edit?usp=sharing"",""ตราด!J295"")"),0)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IFERROR(__xludf.DUMMYFUNCTION("IMPORTRANGE(""https://docs.google.com/spreadsheets/d/1SX6NBoVAgQJ6U1MVXOaj8PK2l7WJ3RER9xtqwdhxkhw/edit?usp=sharing"",""ตราด!M296"")"),97565)</f>
        <v>97565</v>
      </c>
      <c r="O401" s="373">
        <f ca="1">+IF(L401&gt;0,N401*100/L401,0)</f>
        <v>83.876375515818438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IFERROR(__xludf.DUMMYFUNCTION("IMPORTRANGE(""https://docs.google.com/spreadsheets/d/1SX6NBoVAgQJ6U1MVXOaj8PK2l7WJ3RER9xtqwdhxkhw/edit?usp=sharing"",""ตราด!L298"")"),0)</f>
        <v>0</v>
      </c>
      <c r="M403" s="164"/>
      <c r="N403" s="169">
        <f ca="1">IFERROR(__xludf.DUMMYFUNCTION("IMPORTRANGE(""https://docs.google.com/spreadsheets/d/1SX6NBoVAgQJ6U1MVXOaj8PK2l7WJ3RER9xtqwdhxkhw/edit?usp=sharing"",""ตราด!M298"")"),0)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IFERROR(__xludf.DUMMYFUNCTION("IMPORTRANGE(""https://docs.google.com/spreadsheets/d/1SX6NBoVAgQJ6U1MVXOaj8PK2l7WJ3RER9xtqwdhxkhw/edit?usp=sharing"",""ตราด!L299"")"),116320)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IFERROR(__xludf.DUMMYFUNCTION("IMPORTRANGE(""https://docs.google.com/spreadsheets/d/1SX6NBoVAgQJ6U1MVXOaj8PK2l7WJ3RER9xtqwdhxkhw/edit?usp=sharing"",""ตราด!M299"")"),97565)</f>
        <v>97565</v>
      </c>
      <c r="O404" s="169">
        <f t="shared" ca="1" si="112"/>
        <v>83.876375515818438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IFERROR(__xludf.DUMMYFUNCTION("IMPORTRANGE(""https://docs.google.com/spreadsheets/d/1SX6NBoVAgQJ6U1MVXOaj8PK2l7WJ3RER9xtqwdhxkhw/edit?usp=sharing"",""ตราด!L300"")"),0)</f>
        <v>0</v>
      </c>
      <c r="M405" s="169"/>
      <c r="N405" s="169">
        <f ca="1">IFERROR(__xludf.DUMMYFUNCTION("IMPORTRANGE(""https://docs.google.com/spreadsheets/d/1SX6NBoVAgQJ6U1MVXOaj8PK2l7WJ3RER9xtqwdhxkhw/edit?usp=sharing"",""ตราด!M300"")"),0)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IFERROR(__xludf.DUMMYFUNCTION("IMPORTRANGE(""https://docs.google.com/spreadsheets/d/1SX6NBoVAgQJ6U1MVXOaj8PK2l7WJ3RER9xtqwdhxkhw/edit?usp=sharing"",""ตราด!L301"")"),116320)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IFERROR(__xludf.DUMMYFUNCTION("IMPORTRANGE(""https://docs.google.com/spreadsheets/d/1SX6NBoVAgQJ6U1MVXOaj8PK2l7WJ3RER9xtqwdhxkhw/edit?usp=sharing"",""ตราด!M301"")"),97565)</f>
        <v>97565</v>
      </c>
      <c r="O406" s="169">
        <f t="shared" ca="1" si="112"/>
        <v>83.876375515818438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IFERROR(__xludf.DUMMYFUNCTION("IMPORTRANGE(""https://docs.google.com/spreadsheets/d/1SX6NBoVAgQJ6U1MVXOaj8PK2l7WJ3RER9xtqwdhxkhw/edit?usp=sharing"",""ตราด!M304"")"),0)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IFERROR(__xludf.DUMMYFUNCTION("IMPORTRANGE(""https://docs.google.com/spreadsheets/d/1SX6NBoVAgQJ6U1MVXOaj8PK2l7WJ3RER9xtqwdhxkhw/edit?usp=sharing"",""ตราด!M305"")"),6065)</f>
        <v>6065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IFERROR(__xludf.DUMMYFUNCTION("IMPORTRANGE(""https://docs.google.com/spreadsheets/d/1SX6NBoVAgQJ6U1MVXOaj8PK2l7WJ3RER9xtqwdhxkhw/edit?usp=sharing"",""ตราด!J307"")"),0)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IFERROR(__xludf.DUMMYFUNCTION("IMPORTRANGE(""https://docs.google.com/spreadsheets/d/1SX6NBoVAgQJ6U1MVXOaj8PK2l7WJ3RER9xtqwdhxkhw/edit?usp=sharing"",""ตราด!J308"")"),1)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IFERROR(__xludf.DUMMYFUNCTION("IMPORTRANGE(""https://docs.google.com/spreadsheets/d/1SX6NBoVAgQJ6U1MVXOaj8PK2l7WJ3RER9xtqwdhxkhw/edit?usp=sharing"",""ตราด!J309"")"),1)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IFERROR(__xludf.DUMMYFUNCTION("IMPORTRANGE(""https://docs.google.com/spreadsheets/d/1SX6NBoVAgQJ6U1MVXOaj8PK2l7WJ3RER9xtqwdhxkhw/edit?usp=sharing"",""ตราด!J310"")"),1)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IFERROR(__xludf.DUMMYFUNCTION("IMPORTRANGE(""https://docs.google.com/spreadsheets/d/1SX6NBoVAgQJ6U1MVXOaj8PK2l7WJ3RER9xtqwdhxkhw/edit?usp=sharing"",""ตราด!I311"")"),30)</f>
        <v>30</v>
      </c>
      <c r="J416" s="201">
        <f ca="1">IFERROR(__xludf.DUMMYFUNCTION("IMPORTRANGE(""https://docs.google.com/spreadsheets/d/1SX6NBoVAgQJ6U1MVXOaj8PK2l7WJ3RER9xtqwdhxkhw/edit?usp=sharing"",""ตราด!J311"")"),30)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IFERROR(__xludf.DUMMYFUNCTION("IMPORTRANGE(""https://docs.google.com/spreadsheets/d/1SX6NBoVAgQJ6U1MVXOaj8PK2l7WJ3RER9xtqwdhxkhw/edit?usp=sharing"",""ตราด!J328"")"),0)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IFERROR(__xludf.DUMMYFUNCTION("IMPORTRANGE(""https://docs.google.com/spreadsheets/d/1SX6NBoVAgQJ6U1MVXOaj8PK2l7WJ3RER9xtqwdhxkhw/edit?usp=sharing"",""ตราด!J329"")"),0)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IFERROR(__xludf.DUMMYFUNCTION("IMPORTRANGE(""https://docs.google.com/spreadsheets/d/1SX6NBoVAgQJ6U1MVXOaj8PK2l7WJ3RER9xtqwdhxkhw/edit?usp=sharing"",""ตราด!M330"")"),45923)</f>
        <v>45923</v>
      </c>
      <c r="O435" s="412">
        <f t="shared" ref="O435:O439" ca="1" si="114">+IF(L435&gt;0,N435*100/L435,0)</f>
        <v>59.640259740259744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IFERROR(__xludf.DUMMYFUNCTION("IMPORTRANGE(""https://docs.google.com/spreadsheets/d/1SX6NBoVAgQJ6U1MVXOaj8PK2l7WJ3RER9xtqwdhxkhw/edit?usp=sharing"",""ตราด!L331"")"),0)</f>
        <v>0</v>
      </c>
      <c r="M436" s="164"/>
      <c r="N436" s="169">
        <f ca="1">IFERROR(__xludf.DUMMYFUNCTION("IMPORTRANGE(""https://docs.google.com/spreadsheets/d/1SX6NBoVAgQJ6U1MVXOaj8PK2l7WJ3RER9xtqwdhxkhw/edit?usp=sharing"",""ตราด!M331"")"),0)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IFERROR(__xludf.DUMMYFUNCTION("IMPORTRANGE(""https://docs.google.com/spreadsheets/d/1SX6NBoVAgQJ6U1MVXOaj8PK2l7WJ3RER9xtqwdhxkhw/edit?usp=sharing"",""ตราด!L332"")"),77000)</f>
        <v>77000</v>
      </c>
      <c r="M437" s="165"/>
      <c r="N437" s="169">
        <f ca="1">IFERROR(__xludf.DUMMYFUNCTION("IMPORTRANGE(""https://docs.google.com/spreadsheets/d/1SX6NBoVAgQJ6U1MVXOaj8PK2l7WJ3RER9xtqwdhxkhw/edit?usp=sharing"",""ตราด!M332"")"),45923)</f>
        <v>45923</v>
      </c>
      <c r="O437" s="169">
        <f t="shared" ca="1" si="114"/>
        <v>59.640259740259744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IFERROR(__xludf.DUMMYFUNCTION("IMPORTRANGE(""https://docs.google.com/spreadsheets/d/1SX6NBoVAgQJ6U1MVXOaj8PK2l7WJ3RER9xtqwdhxkhw/edit?usp=sharing"",""ตราด!L333"")"),0)</f>
        <v>0</v>
      </c>
      <c r="M438" s="169"/>
      <c r="N438" s="169">
        <f ca="1">IFERROR(__xludf.DUMMYFUNCTION("IMPORTRANGE(""https://docs.google.com/spreadsheets/d/1SX6NBoVAgQJ6U1MVXOaj8PK2l7WJ3RER9xtqwdhxkhw/edit?usp=sharing"",""ตราด!M333"")"),0)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IFERROR(__xludf.DUMMYFUNCTION("IMPORTRANGE(""https://docs.google.com/spreadsheets/d/1SX6NBoVAgQJ6U1MVXOaj8PK2l7WJ3RER9xtqwdhxkhw/edit?usp=sharing"",""ตราด!L334"")"),77000)</f>
        <v>77000</v>
      </c>
      <c r="M439" s="169"/>
      <c r="N439" s="169">
        <f ca="1">IFERROR(__xludf.DUMMYFUNCTION("IMPORTRANGE(""https://docs.google.com/spreadsheets/d/1SX6NBoVAgQJ6U1MVXOaj8PK2l7WJ3RER9xtqwdhxkhw/edit?usp=sharing"",""ตราด!M334"")"),45923)</f>
        <v>45923</v>
      </c>
      <c r="O439" s="169">
        <f t="shared" ca="1" si="114"/>
        <v>59.640259740259744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IFERROR(__xludf.DUMMYFUNCTION("IMPORTRANGE(""https://docs.google.com/spreadsheets/d/1SX6NBoVAgQJ6U1MVXOaj8PK2l7WJ3RER9xtqwdhxkhw/edit?usp=sharing"",""ตราด!M336"")"),0)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IFERROR(__xludf.DUMMYFUNCTION("IMPORTRANGE(""https://docs.google.com/spreadsheets/d/1SX6NBoVAgQJ6U1MVXOaj8PK2l7WJ3RER9xtqwdhxkhw/edit?usp=sharing"",""ตราด!M337"")"),0)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IFERROR(__xludf.DUMMYFUNCTION("IMPORTRANGE(""https://docs.google.com/spreadsheets/d/1SX6NBoVAgQJ6U1MVXOaj8PK2l7WJ3RER9xtqwdhxkhw/edit?usp=sharing"",""ตราด!M338"")"),6950)</f>
        <v>6950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IFERROR(__xludf.DUMMYFUNCTION("IMPORTRANGE(""https://docs.google.com/spreadsheets/d/1SX6NBoVAgQJ6U1MVXOaj8PK2l7WJ3RER9xtqwdhxkhw/edit?usp=sharing"",""ตราด!J340"")"),0)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IFERROR(__xludf.DUMMYFUNCTION("IMPORTRANGE(""https://docs.google.com/spreadsheets/d/1SX6NBoVAgQJ6U1MVXOaj8PK2l7WJ3RER9xtqwdhxkhw/edit?usp=sharing"",""ตราด!J342"")"),1)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IFERROR(__xludf.DUMMYFUNCTION("IMPORTRANGE(""https://docs.google.com/spreadsheets/d/1SX6NBoVAgQJ6U1MVXOaj8PK2l7WJ3RER9xtqwdhxkhw/edit?usp=sharing"",""ตราด!J343"")"),1)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1">
        <f ca="1">IFERROR(__xludf.DUMMYFUNCTION("IMPORTRANGE(""https://docs.google.com/spreadsheets/d/1SX6NBoVAgQJ6U1MVXOaj8PK2l7WJ3RER9xtqwdhxkhw/edit?usp=sharing"",""ตราด!J344"")"),10)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IFERROR(__xludf.DUMMYFUNCTION("IMPORTRANGE(""https://docs.google.com/spreadsheets/d/1SX6NBoVAgQJ6U1MVXOaj8PK2l7WJ3RER9xtqwdhxkhw/edit?usp=sharing"",""ตราด!I345"")"),10)</f>
        <v>10</v>
      </c>
      <c r="J450" s="189">
        <f ca="1">IFERROR(__xludf.DUMMYFUNCTION("IMPORTRANGE(""https://docs.google.com/spreadsheets/d/1SX6NBoVAgQJ6U1MVXOaj8PK2l7WJ3RER9xtqwdhxkhw/edit?usp=sharing"",""ตราด!J345"")"),10)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IFERROR(__xludf.DUMMYFUNCTION("IMPORTRANGE(""https://docs.google.com/spreadsheets/d/1SX6NBoVAgQJ6U1MVXOaj8PK2l7WJ3RER9xtqwdhxkhw/edit?usp=sharing"",""ตราด!I346"")"),0)</f>
        <v>0</v>
      </c>
      <c r="J451" s="188">
        <f ca="1">IFERROR(__xludf.DUMMYFUNCTION("IMPORTRANGE(""https://docs.google.com/spreadsheets/d/1SX6NBoVAgQJ6U1MVXOaj8PK2l7WJ3RER9xtqwdhxkhw/edit?usp=sharing"",""ตราด!J346"")"),0)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IFERROR(__xludf.DUMMYFUNCTION("IMPORTRANGE(""https://docs.google.com/spreadsheets/d/1SX6NBoVAgQJ6U1MVXOaj8PK2l7WJ3RER9xtqwdhxkhw/edit?usp=sharing"",""ตราด!I347"")"),0)</f>
        <v>0</v>
      </c>
      <c r="J452" s="188">
        <f ca="1">IFERROR(__xludf.DUMMYFUNCTION("IMPORTRANGE(""https://docs.google.com/spreadsheets/d/1SX6NBoVAgQJ6U1MVXOaj8PK2l7WJ3RER9xtqwdhxkhw/edit?usp=sharing"",""ตราด!J347"")"),0)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IFERROR(__xludf.DUMMYFUNCTION("IMPORTRANGE(""https://docs.google.com/spreadsheets/d/1SX6NBoVAgQJ6U1MVXOaj8PK2l7WJ3RER9xtqwdhxkhw/edit?usp=sharing"",""ตราด!J348"")"),0)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IFERROR(__xludf.DUMMYFUNCTION("IMPORTRANGE(""https://docs.google.com/spreadsheets/d/1SX6NBoVAgQJ6U1MVXOaj8PK2l7WJ3RER9xtqwdhxkhw/edit?usp=sharing"",""ตราด!J349"")"),0)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IFERROR(__xludf.DUMMYFUNCTION("IMPORTRANGE(""https://docs.google.com/spreadsheets/d/1SX6NBoVAgQJ6U1MVXOaj8PK2l7WJ3RER9xtqwdhxkhw/edit?usp=sharing"",""ตราด!M350"")"),35935)</f>
        <v>35935</v>
      </c>
      <c r="O455" s="373">
        <f t="shared" ref="O455:O459" ca="1" si="116">+IF(L455&gt;0,N455*100/L455,0)</f>
        <v>54.239872003864036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IFERROR(__xludf.DUMMYFUNCTION("IMPORTRANGE(""https://docs.google.com/spreadsheets/d/1SX6NBoVAgQJ6U1MVXOaj8PK2l7WJ3RER9xtqwdhxkhw/edit?usp=sharing"",""ตราด!L351"")"),0)</f>
        <v>0</v>
      </c>
      <c r="M456" s="164"/>
      <c r="N456" s="169">
        <f ca="1">IFERROR(__xludf.DUMMYFUNCTION("IMPORTRANGE(""https://docs.google.com/spreadsheets/d/1SX6NBoVAgQJ6U1MVXOaj8PK2l7WJ3RER9xtqwdhxkhw/edit?usp=sharing"",""ตราด!M351"")"),0)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IFERROR(__xludf.DUMMYFUNCTION("IMPORTRANGE(""https://docs.google.com/spreadsheets/d/1SX6NBoVAgQJ6U1MVXOaj8PK2l7WJ3RER9xtqwdhxkhw/edit?usp=sharing"",""ตราด!L352"")"),66252)</f>
        <v>66252</v>
      </c>
      <c r="M457" s="165"/>
      <c r="N457" s="169">
        <f ca="1">IFERROR(__xludf.DUMMYFUNCTION("IMPORTRANGE(""https://docs.google.com/spreadsheets/d/1SX6NBoVAgQJ6U1MVXOaj8PK2l7WJ3RER9xtqwdhxkhw/edit?usp=sharing"",""ตราด!M352"")"),35935)</f>
        <v>35935</v>
      </c>
      <c r="O457" s="169">
        <f t="shared" ca="1" si="116"/>
        <v>54.239872003864036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IFERROR(__xludf.DUMMYFUNCTION("IMPORTRANGE(""https://docs.google.com/spreadsheets/d/1SX6NBoVAgQJ6U1MVXOaj8PK2l7WJ3RER9xtqwdhxkhw/edit?usp=sharing"",""ตราด!L353"")"),0)</f>
        <v>0</v>
      </c>
      <c r="M458" s="169"/>
      <c r="N458" s="169">
        <f ca="1">IFERROR(__xludf.DUMMYFUNCTION("IMPORTRANGE(""https://docs.google.com/spreadsheets/d/1SX6NBoVAgQJ6U1MVXOaj8PK2l7WJ3RER9xtqwdhxkhw/edit?usp=sharing"",""ตราด!M353"")"),0)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IFERROR(__xludf.DUMMYFUNCTION("IMPORTRANGE(""https://docs.google.com/spreadsheets/d/1SX6NBoVAgQJ6U1MVXOaj8PK2l7WJ3RER9xtqwdhxkhw/edit?usp=sharing"",""ตราด!L354"")"),66252)</f>
        <v>66252</v>
      </c>
      <c r="M459" s="169"/>
      <c r="N459" s="169">
        <f ca="1">IFERROR(__xludf.DUMMYFUNCTION("IMPORTRANGE(""https://docs.google.com/spreadsheets/d/1SX6NBoVAgQJ6U1MVXOaj8PK2l7WJ3RER9xtqwdhxkhw/edit?usp=sharing"",""ตราด!M354"")"),35935)</f>
        <v>35935</v>
      </c>
      <c r="O459" s="169">
        <f t="shared" ca="1" si="116"/>
        <v>54.239872003864036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IFERROR(__xludf.DUMMYFUNCTION("IMPORTRANGE(""https://docs.google.com/spreadsheets/d/1SX6NBoVAgQJ6U1MVXOaj8PK2l7WJ3RER9xtqwdhxkhw/edit?usp=sharing"",""ตราด!M355"")"),0)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IFERROR(__xludf.DUMMYFUNCTION("IMPORTRANGE(""https://docs.google.com/spreadsheets/d/1SX6NBoVAgQJ6U1MVXOaj8PK2l7WJ3RER9xtqwdhxkhw/edit?usp=sharing"",""ตราด!M356"")"),0)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IFERROR(__xludf.DUMMYFUNCTION("IMPORTRANGE(""https://docs.google.com/spreadsheets/d/1SX6NBoVAgQJ6U1MVXOaj8PK2l7WJ3RER9xtqwdhxkhw/edit?usp=sharing"",""ตราด!M357"")"),0)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IFERROR(__xludf.DUMMYFUNCTION("IMPORTRANGE(""https://docs.google.com/spreadsheets/d/1SX6NBoVAgQJ6U1MVXOaj8PK2l7WJ3RER9xtqwdhxkhw/edit?usp=sharing"",""ตราด!M358"")"),35935)</f>
        <v>35935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IFERROR(__xludf.DUMMYFUNCTION("IMPORTRANGE(""https://docs.google.com/spreadsheets/d/1SX6NBoVAgQJ6U1MVXOaj8PK2l7WJ3RER9xtqwdhxkhw/edit?usp=sharing"",""ตราด!I359"")"),0)</f>
        <v>0</v>
      </c>
      <c r="J464" s="268">
        <f ca="1">IFERROR(__xludf.DUMMYFUNCTION("IMPORTRANGE(""https://docs.google.com/spreadsheets/d/1SX6NBoVAgQJ6U1MVXOaj8PK2l7WJ3RER9xtqwdhxkhw/edit?usp=sharing"",""ตราด!J359"")"),0)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IFERROR(__xludf.DUMMYFUNCTION("IMPORTRANGE(""https://docs.google.com/spreadsheets/d/1SX6NBoVAgQJ6U1MVXOaj8PK2l7WJ3RER9xtqwdhxkhw/edit?usp=sharing"",""ตราด!I362"")"),0)</f>
        <v>0</v>
      </c>
      <c r="J467" s="189">
        <f ca="1">IFERROR(__xludf.DUMMYFUNCTION("IMPORTRANGE(""https://docs.google.com/spreadsheets/d/1SX6NBoVAgQJ6U1MVXOaj8PK2l7WJ3RER9xtqwdhxkhw/edit?usp=sharing"",""ตราด!J362"")"),0)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IFERROR(__xludf.DUMMYFUNCTION("IMPORTRANGE(""https://docs.google.com/spreadsheets/d/1SX6NBoVAgQJ6U1MVXOaj8PK2l7WJ3RER9xtqwdhxkhw/edit?usp=sharing"",""ตราด!I363"")"),0)</f>
        <v>0</v>
      </c>
      <c r="J468" s="189">
        <f ca="1">IFERROR(__xludf.DUMMYFUNCTION("IMPORTRANGE(""https://docs.google.com/spreadsheets/d/1SX6NBoVAgQJ6U1MVXOaj8PK2l7WJ3RER9xtqwdhxkhw/edit?usp=sharing"",""ตราด!J363"")"),0)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IFERROR(__xludf.DUMMYFUNCTION("IMPORTRANGE(""https://docs.google.com/spreadsheets/d/1SX6NBoVAgQJ6U1MVXOaj8PK2l7WJ3RER9xtqwdhxkhw/edit?usp=sharing"",""ตราด!I364"")"),0)</f>
        <v>0</v>
      </c>
      <c r="J469" s="189">
        <f ca="1">IFERROR(__xludf.DUMMYFUNCTION("IMPORTRANGE(""https://docs.google.com/spreadsheets/d/1SX6NBoVAgQJ6U1MVXOaj8PK2l7WJ3RER9xtqwdhxkhw/edit?usp=sharing"",""ตราด!J364"")"),0)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IFERROR(__xludf.DUMMYFUNCTION("IMPORTRANGE(""https://docs.google.com/spreadsheets/d/1SX6NBoVAgQJ6U1MVXOaj8PK2l7WJ3RER9xtqwdhxkhw/edit?usp=sharing"",""ตราด!I365"")"),0)</f>
        <v>0</v>
      </c>
      <c r="J470" s="189">
        <f ca="1">IFERROR(__xludf.DUMMYFUNCTION("IMPORTRANGE(""https://docs.google.com/spreadsheets/d/1SX6NBoVAgQJ6U1MVXOaj8PK2l7WJ3RER9xtqwdhxkhw/edit?usp=sharing"",""ตราด!J365"")"),0)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IFERROR(__xludf.DUMMYFUNCTION("IMPORTRANGE(""https://docs.google.com/spreadsheets/d/1SX6NBoVAgQJ6U1MVXOaj8PK2l7WJ3RER9xtqwdhxkhw/edit?usp=sharing"",""ตราด!I366"")"),0)</f>
        <v>0</v>
      </c>
      <c r="J471" s="189">
        <f ca="1">IFERROR(__xludf.DUMMYFUNCTION("IMPORTRANGE(""https://docs.google.com/spreadsheets/d/1SX6NBoVAgQJ6U1MVXOaj8PK2l7WJ3RER9xtqwdhxkhw/edit?usp=sharing"",""ตราด!J366"")"),0)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IFERROR(__xludf.DUMMYFUNCTION("IMPORTRANGE(""https://docs.google.com/spreadsheets/d/1SX6NBoVAgQJ6U1MVXOaj8PK2l7WJ3RER9xtqwdhxkhw/edit?usp=sharing"",""ตราด!I367"")"),0)</f>
        <v>0</v>
      </c>
      <c r="J472" s="189">
        <f ca="1">IFERROR(__xludf.DUMMYFUNCTION("IMPORTRANGE(""https://docs.google.com/spreadsheets/d/1SX6NBoVAgQJ6U1MVXOaj8PK2l7WJ3RER9xtqwdhxkhw/edit?usp=sharing"",""ตราด!J367"")"),0)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IFERROR(__xludf.DUMMYFUNCTION("IMPORTRANGE(""https://docs.google.com/spreadsheets/d/1SX6NBoVAgQJ6U1MVXOaj8PK2l7WJ3RER9xtqwdhxkhw/edit?usp=sharing"",""ตราด!I370"")"),0)</f>
        <v>0</v>
      </c>
      <c r="J475" s="189">
        <f ca="1">IFERROR(__xludf.DUMMYFUNCTION("IMPORTRANGE(""https://docs.google.com/spreadsheets/d/1SX6NBoVAgQJ6U1MVXOaj8PK2l7WJ3RER9xtqwdhxkhw/edit?usp=sharing"",""ตราด!J370"")"),0)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IFERROR(__xludf.DUMMYFUNCTION("IMPORTRANGE(""https://docs.google.com/spreadsheets/d/1SX6NBoVAgQJ6U1MVXOaj8PK2l7WJ3RER9xtqwdhxkhw/edit?usp=sharing"",""ตราด!I371"")"),0)</f>
        <v>0</v>
      </c>
      <c r="J476" s="189">
        <f ca="1">IFERROR(__xludf.DUMMYFUNCTION("IMPORTRANGE(""https://docs.google.com/spreadsheets/d/1SX6NBoVAgQJ6U1MVXOaj8PK2l7WJ3RER9xtqwdhxkhw/edit?usp=sharing"",""ตราด!J371"")"),0)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IFERROR(__xludf.DUMMYFUNCTION("IMPORTRANGE(""https://docs.google.com/spreadsheets/d/1SX6NBoVAgQJ6U1MVXOaj8PK2l7WJ3RER9xtqwdhxkhw/edit?usp=sharing"",""ตราด!I372"")"),0)</f>
        <v>0</v>
      </c>
      <c r="J477" s="189">
        <f ca="1">IFERROR(__xludf.DUMMYFUNCTION("IMPORTRANGE(""https://docs.google.com/spreadsheets/d/1SX6NBoVAgQJ6U1MVXOaj8PK2l7WJ3RER9xtqwdhxkhw/edit?usp=sharing"",""ตราด!J372"")"),0)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IFERROR(__xludf.DUMMYFUNCTION("IMPORTRANGE(""https://docs.google.com/spreadsheets/d/1SX6NBoVAgQJ6U1MVXOaj8PK2l7WJ3RER9xtqwdhxkhw/edit?usp=sharing"",""ตราด!I373"")"),0)</f>
        <v>0</v>
      </c>
      <c r="J478" s="189">
        <f ca="1">IFERROR(__xludf.DUMMYFUNCTION("IMPORTRANGE(""https://docs.google.com/spreadsheets/d/1SX6NBoVAgQJ6U1MVXOaj8PK2l7WJ3RER9xtqwdhxkhw/edit?usp=sharing"",""ตราด!J373"")"),0)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IFERROR(__xludf.DUMMYFUNCTION("IMPORTRANGE(""https://docs.google.com/spreadsheets/d/1SX6NBoVAgQJ6U1MVXOaj8PK2l7WJ3RER9xtqwdhxkhw/edit?usp=sharing"",""ตราด!I374"")"),0)</f>
        <v>0</v>
      </c>
      <c r="J479" s="189">
        <f ca="1">IFERROR(__xludf.DUMMYFUNCTION("IMPORTRANGE(""https://docs.google.com/spreadsheets/d/1SX6NBoVAgQJ6U1MVXOaj8PK2l7WJ3RER9xtqwdhxkhw/edit?usp=sharing"",""ตราด!J374"")"),0)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IFERROR(__xludf.DUMMYFUNCTION("IMPORTRANGE(""https://docs.google.com/spreadsheets/d/1SX6NBoVAgQJ6U1MVXOaj8PK2l7WJ3RER9xtqwdhxkhw/edit?usp=sharing"",""ตราด!I375"")"),0)</f>
        <v>0</v>
      </c>
      <c r="J480" s="189">
        <f ca="1">IFERROR(__xludf.DUMMYFUNCTION("IMPORTRANGE(""https://docs.google.com/spreadsheets/d/1SX6NBoVAgQJ6U1MVXOaj8PK2l7WJ3RER9xtqwdhxkhw/edit?usp=sharing"",""ตราด!J375"")"),0)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IFERROR(__xludf.DUMMYFUNCTION("IMPORTRANGE(""https://docs.google.com/spreadsheets/d/1SX6NBoVAgQJ6U1MVXOaj8PK2l7WJ3RER9xtqwdhxkhw/edit?usp=sharing"",""ตราด!I378"")"),0)</f>
        <v>0</v>
      </c>
      <c r="J483" s="189">
        <f ca="1">IFERROR(__xludf.DUMMYFUNCTION("IMPORTRANGE(""https://docs.google.com/spreadsheets/d/1SX6NBoVAgQJ6U1MVXOaj8PK2l7WJ3RER9xtqwdhxkhw/edit?usp=sharing"",""ตราด!J378"")"),0)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IFERROR(__xludf.DUMMYFUNCTION("IMPORTRANGE(""https://docs.google.com/spreadsheets/d/1SX6NBoVAgQJ6U1MVXOaj8PK2l7WJ3RER9xtqwdhxkhw/edit?usp=sharing"",""ตราด!I379"")"),0)</f>
        <v>0</v>
      </c>
      <c r="J484" s="189">
        <f ca="1">IFERROR(__xludf.DUMMYFUNCTION("IMPORTRANGE(""https://docs.google.com/spreadsheets/d/1SX6NBoVAgQJ6U1MVXOaj8PK2l7WJ3RER9xtqwdhxkhw/edit?usp=sharing"",""ตราด!J379"")"),0)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IFERROR(__xludf.DUMMYFUNCTION("IMPORTRANGE(""https://docs.google.com/spreadsheets/d/1SX6NBoVAgQJ6U1MVXOaj8PK2l7WJ3RER9xtqwdhxkhw/edit?usp=sharing"",""ตราด!I380"")"),0)</f>
        <v>0</v>
      </c>
      <c r="J485" s="189">
        <f ca="1">IFERROR(__xludf.DUMMYFUNCTION("IMPORTRANGE(""https://docs.google.com/spreadsheets/d/1SX6NBoVAgQJ6U1MVXOaj8PK2l7WJ3RER9xtqwdhxkhw/edit?usp=sharing"",""ตราด!J380"")"),0)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IFERROR(__xludf.DUMMYFUNCTION("IMPORTRANGE(""https://docs.google.com/spreadsheets/d/1SX6NBoVAgQJ6U1MVXOaj8PK2l7WJ3RER9xtqwdhxkhw/edit?usp=sharing"",""ตราด!I381"")"),0)</f>
        <v>0</v>
      </c>
      <c r="J486" s="189">
        <f ca="1">IFERROR(__xludf.DUMMYFUNCTION("IMPORTRANGE(""https://docs.google.com/spreadsheets/d/1SX6NBoVAgQJ6U1MVXOaj8PK2l7WJ3RER9xtqwdhxkhw/edit?usp=sharing"",""ตราด!J381"")"),0)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IFERROR(__xludf.DUMMYFUNCTION("IMPORTRANGE(""https://docs.google.com/spreadsheets/d/1SX6NBoVAgQJ6U1MVXOaj8PK2l7WJ3RER9xtqwdhxkhw/edit?usp=sharing"",""ตราด!I384"")"),0)</f>
        <v>0</v>
      </c>
      <c r="J489" s="189">
        <f ca="1">IFERROR(__xludf.DUMMYFUNCTION("IMPORTRANGE(""https://docs.google.com/spreadsheets/d/1SX6NBoVAgQJ6U1MVXOaj8PK2l7WJ3RER9xtqwdhxkhw/edit?usp=sharing"",""ตราด!J384"")"),0)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IFERROR(__xludf.DUMMYFUNCTION("IMPORTRANGE(""https://docs.google.com/spreadsheets/d/1SX6NBoVAgQJ6U1MVXOaj8PK2l7WJ3RER9xtqwdhxkhw/edit?usp=sharing"",""ตราด!I385"")"),0)</f>
        <v>0</v>
      </c>
      <c r="J490" s="189">
        <f ca="1">IFERROR(__xludf.DUMMYFUNCTION("IMPORTRANGE(""https://docs.google.com/spreadsheets/d/1SX6NBoVAgQJ6U1MVXOaj8PK2l7WJ3RER9xtqwdhxkhw/edit?usp=sharing"",""ตราด!J385"")"),0)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IFERROR(__xludf.DUMMYFUNCTION("IMPORTRANGE(""https://docs.google.com/spreadsheets/d/1SX6NBoVAgQJ6U1MVXOaj8PK2l7WJ3RER9xtqwdhxkhw/edit?usp=sharing"",""ตราด!I386"")"),0)</f>
        <v>0</v>
      </c>
      <c r="J491" s="189">
        <f ca="1">IFERROR(__xludf.DUMMYFUNCTION("IMPORTRANGE(""https://docs.google.com/spreadsheets/d/1SX6NBoVAgQJ6U1MVXOaj8PK2l7WJ3RER9xtqwdhxkhw/edit?usp=sharing"",""ตราด!J386"")"),0)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IFERROR(__xludf.DUMMYFUNCTION("IMPORTRANGE(""https://docs.google.com/spreadsheets/d/1SX6NBoVAgQJ6U1MVXOaj8PK2l7WJ3RER9xtqwdhxkhw/edit?usp=sharing"",""ตราด!I387"")"),0)</f>
        <v>0</v>
      </c>
      <c r="J492" s="189">
        <f ca="1">IFERROR(__xludf.DUMMYFUNCTION("IMPORTRANGE(""https://docs.google.com/spreadsheets/d/1SX6NBoVAgQJ6U1MVXOaj8PK2l7WJ3RER9xtqwdhxkhw/edit?usp=sharing"",""ตราด!J387"")"),0)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IFERROR(__xludf.DUMMYFUNCTION("IMPORTRANGE(""https://docs.google.com/spreadsheets/d/1SX6NBoVAgQJ6U1MVXOaj8PK2l7WJ3RER9xtqwdhxkhw/edit?usp=sharing"",""ตราด!I388"")"),0)</f>
        <v>0</v>
      </c>
      <c r="J493" s="189">
        <f ca="1">IFERROR(__xludf.DUMMYFUNCTION("IMPORTRANGE(""https://docs.google.com/spreadsheets/d/1SX6NBoVAgQJ6U1MVXOaj8PK2l7WJ3RER9xtqwdhxkhw/edit?usp=sharing"",""ตราด!J388"")"),0)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IFERROR(__xludf.DUMMYFUNCTION("IMPORTRANGE(""https://docs.google.com/spreadsheets/d/1SX6NBoVAgQJ6U1MVXOaj8PK2l7WJ3RER9xtqwdhxkhw/edit?usp=sharing"",""ตราด!J392"")"),666)</f>
        <v>666</v>
      </c>
      <c r="K497" s="444">
        <f t="shared" ca="1" si="117"/>
        <v>47.776183644189381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IFERROR(__xludf.DUMMYFUNCTION("IMPORTRANGE(""https://docs.google.com/spreadsheets/d/1SX6NBoVAgQJ6U1MVXOaj8PK2l7WJ3RER9xtqwdhxkhw/edit?usp=sharing"",""ตราด!J393"")"),666)</f>
        <v>666</v>
      </c>
      <c r="K498" s="202">
        <f t="shared" ca="1" si="117"/>
        <v>47.776183644189381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IFERROR(__xludf.DUMMYFUNCTION("IMPORTRANGE(""https://docs.google.com/spreadsheets/d/1SX6NBoVAgQJ6U1MVXOaj8PK2l7WJ3RER9xtqwdhxkhw/edit?usp=sharing"",""ตราด!J394"")"),41)</f>
        <v>41</v>
      </c>
      <c r="K499" s="202">
        <f t="shared" ca="1" si="117"/>
        <v>46.067415730337082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IFERROR(__xludf.DUMMYFUNCTION("IMPORTRANGE(""https://docs.google.com/spreadsheets/d/1SX6NBoVAgQJ6U1MVXOaj8PK2l7WJ3RER9xtqwdhxkhw/edit?usp=sharing"",""ตราด!I395"")"),0)</f>
        <v>0</v>
      </c>
      <c r="J500" s="162">
        <f ca="1">IFERROR(__xludf.DUMMYFUNCTION("IMPORTRANGE(""https://docs.google.com/spreadsheets/d/1SX6NBoVAgQJ6U1MVXOaj8PK2l7WJ3RER9xtqwdhxkhw/edit?usp=sharing"",""ตราด!J395"")"),666)</f>
        <v>666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IFERROR(__xludf.DUMMYFUNCTION("IMPORTRANGE(""https://docs.google.com/spreadsheets/d/1SX6NBoVAgQJ6U1MVXOaj8PK2l7WJ3RER9xtqwdhxkhw/edit?usp=sharing"",""ตราด!I396"")"),0)</f>
        <v>0</v>
      </c>
      <c r="J501" s="162">
        <f ca="1">IFERROR(__xludf.DUMMYFUNCTION("IMPORTRANGE(""https://docs.google.com/spreadsheets/d/1SX6NBoVAgQJ6U1MVXOaj8PK2l7WJ3RER9xtqwdhxkhw/edit?usp=sharing"",""ตราด!J396"")"),41)</f>
        <v>41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IFERROR(__xludf.DUMMYFUNCTION("IMPORTRANGE(""https://docs.google.com/spreadsheets/d/1SX6NBoVAgQJ6U1MVXOaj8PK2l7WJ3RER9xtqwdhxkhw/edit?usp=sharing"",""ตราด!I397"")"),0)</f>
        <v>0</v>
      </c>
      <c r="J502" s="189">
        <f ca="1">IFERROR(__xludf.DUMMYFUNCTION("IMPORTRANGE(""https://docs.google.com/spreadsheets/d/1SX6NBoVAgQJ6U1MVXOaj8PK2l7WJ3RER9xtqwdhxkhw/edit?usp=sharing"",""ตราด!J397"")"),666)</f>
        <v>666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IFERROR(__xludf.DUMMYFUNCTION("IMPORTRANGE(""https://docs.google.com/spreadsheets/d/1SX6NBoVAgQJ6U1MVXOaj8PK2l7WJ3RER9xtqwdhxkhw/edit?usp=sharing"",""ตราด!I398"")"),0)</f>
        <v>0</v>
      </c>
      <c r="J503" s="198">
        <f ca="1">IFERROR(__xludf.DUMMYFUNCTION("IMPORTRANGE(""https://docs.google.com/spreadsheets/d/1SX6NBoVAgQJ6U1MVXOaj8PK2l7WJ3RER9xtqwdhxkhw/edit?usp=sharing"",""ตราด!J398"")"),41)</f>
        <v>41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IFERROR(__xludf.DUMMYFUNCTION("IMPORTRANGE(""https://docs.google.com/spreadsheets/d/1SX6NBoVAgQJ6U1MVXOaj8PK2l7WJ3RER9xtqwdhxkhw/edit?usp=sharing"",""ตราด!I399"")"),0)</f>
        <v>0</v>
      </c>
      <c r="J504" s="189">
        <f ca="1">IFERROR(__xludf.DUMMYFUNCTION("IMPORTRANGE(""https://docs.google.com/spreadsheets/d/1SX6NBoVAgQJ6U1MVXOaj8PK2l7WJ3RER9xtqwdhxkhw/edit?usp=sharing"",""ตราด!J399"")"),0)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IFERROR(__xludf.DUMMYFUNCTION("IMPORTRANGE(""https://docs.google.com/spreadsheets/d/1SX6NBoVAgQJ6U1MVXOaj8PK2l7WJ3RER9xtqwdhxkhw/edit?usp=sharing"",""ตราด!I400"")"),0)</f>
        <v>0</v>
      </c>
      <c r="J505" s="198">
        <f ca="1">IFERROR(__xludf.DUMMYFUNCTION("IMPORTRANGE(""https://docs.google.com/spreadsheets/d/1SX6NBoVAgQJ6U1MVXOaj8PK2l7WJ3RER9xtqwdhxkhw/edit?usp=sharing"",""ตราด!J400"")"),0)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IFERROR(__xludf.DUMMYFUNCTION("IMPORTRANGE(""https://docs.google.com/spreadsheets/d/1SX6NBoVAgQJ6U1MVXOaj8PK2l7WJ3RER9xtqwdhxkhw/edit?usp=sharing"",""ตราด!I401"")"),0)</f>
        <v>0</v>
      </c>
      <c r="J506" s="189">
        <f ca="1">IFERROR(__xludf.DUMMYFUNCTION("IMPORTRANGE(""https://docs.google.com/spreadsheets/d/1SX6NBoVAgQJ6U1MVXOaj8PK2l7WJ3RER9xtqwdhxkhw/edit?usp=sharing"",""ตราด!J401"")"),0)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IFERROR(__xludf.DUMMYFUNCTION("IMPORTRANGE(""https://docs.google.com/spreadsheets/d/1SX6NBoVAgQJ6U1MVXOaj8PK2l7WJ3RER9xtqwdhxkhw/edit?usp=sharing"",""ตราด!I402"")"),0)</f>
        <v>0</v>
      </c>
      <c r="J507" s="198">
        <f ca="1">IFERROR(__xludf.DUMMYFUNCTION("IMPORTRANGE(""https://docs.google.com/spreadsheets/d/1SX6NBoVAgQJ6U1MVXOaj8PK2l7WJ3RER9xtqwdhxkhw/edit?usp=sharing"",""ตราด!J402"")"),0)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IFERROR(__xludf.DUMMYFUNCTION("IMPORTRANGE(""https://docs.google.com/spreadsheets/d/1SX6NBoVAgQJ6U1MVXOaj8PK2l7WJ3RER9xtqwdhxkhw/edit?usp=sharing"",""ตราด!I403"")"),0)</f>
        <v>0</v>
      </c>
      <c r="J508" s="162">
        <f ca="1">IFERROR(__xludf.DUMMYFUNCTION("IMPORTRANGE(""https://docs.google.com/spreadsheets/d/1SX6NBoVAgQJ6U1MVXOaj8PK2l7WJ3RER9xtqwdhxkhw/edit?usp=sharing"",""ตราด!J403"")"),0)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IFERROR(__xludf.DUMMYFUNCTION("IMPORTRANGE(""https://docs.google.com/spreadsheets/d/1SX6NBoVAgQJ6U1MVXOaj8PK2l7WJ3RER9xtqwdhxkhw/edit?usp=sharing"",""ตราด!I404"")"),0)</f>
        <v>0</v>
      </c>
      <c r="J509" s="162">
        <f ca="1">IFERROR(__xludf.DUMMYFUNCTION("IMPORTRANGE(""https://docs.google.com/spreadsheets/d/1SX6NBoVAgQJ6U1MVXOaj8PK2l7WJ3RER9xtqwdhxkhw/edit?usp=sharing"",""ตราด!J404"")"),0)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IFERROR(__xludf.DUMMYFUNCTION("IMPORTRANGE(""https://docs.google.com/spreadsheets/d/1SX6NBoVAgQJ6U1MVXOaj8PK2l7WJ3RER9xtqwdhxkhw/edit?usp=sharing"",""ตราด!I405"")"),0)</f>
        <v>0</v>
      </c>
      <c r="J510" s="198">
        <f ca="1">IFERROR(__xludf.DUMMYFUNCTION("IMPORTRANGE(""https://docs.google.com/spreadsheets/d/1SX6NBoVAgQJ6U1MVXOaj8PK2l7WJ3RER9xtqwdhxkhw/edit?usp=sharing"",""ตราด!J405"")"),0)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IFERROR(__xludf.DUMMYFUNCTION("IMPORTRANGE(""https://docs.google.com/spreadsheets/d/1SX6NBoVAgQJ6U1MVXOaj8PK2l7WJ3RER9xtqwdhxkhw/edit?usp=sharing"",""ตราด!I406"")"),0)</f>
        <v>0</v>
      </c>
      <c r="J511" s="198">
        <f ca="1">IFERROR(__xludf.DUMMYFUNCTION("IMPORTRANGE(""https://docs.google.com/spreadsheets/d/1SX6NBoVAgQJ6U1MVXOaj8PK2l7WJ3RER9xtqwdhxkhw/edit?usp=sharing"",""ตราด!J406"")"),0)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IFERROR(__xludf.DUMMYFUNCTION("IMPORTRANGE(""https://docs.google.com/spreadsheets/d/1SX6NBoVAgQJ6U1MVXOaj8PK2l7WJ3RER9xtqwdhxkhw/edit?usp=sharing"",""ตราด!I407"")"),0)</f>
        <v>0</v>
      </c>
      <c r="J512" s="198">
        <f ca="1">IFERROR(__xludf.DUMMYFUNCTION("IMPORTRANGE(""https://docs.google.com/spreadsheets/d/1SX6NBoVAgQJ6U1MVXOaj8PK2l7WJ3RER9xtqwdhxkhw/edit?usp=sharing"",""ตราด!J407"")"),0)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IFERROR(__xludf.DUMMYFUNCTION("IMPORTRANGE(""https://docs.google.com/spreadsheets/d/1SX6NBoVAgQJ6U1MVXOaj8PK2l7WJ3RER9xtqwdhxkhw/edit?usp=sharing"",""ตราด!I408"")"),0)</f>
        <v>0</v>
      </c>
      <c r="J513" s="198">
        <f ca="1">IFERROR(__xludf.DUMMYFUNCTION("IMPORTRANGE(""https://docs.google.com/spreadsheets/d/1SX6NBoVAgQJ6U1MVXOaj8PK2l7WJ3RER9xtqwdhxkhw/edit?usp=sharing"",""ตราด!J408"")"),0)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IFERROR(__xludf.DUMMYFUNCTION("IMPORTRANGE(""https://docs.google.com/spreadsheets/d/1SX6NBoVAgQJ6U1MVXOaj8PK2l7WJ3RER9xtqwdhxkhw/edit?usp=sharing"",""ตราด!I409"")"),0)</f>
        <v>0</v>
      </c>
      <c r="J514" s="198">
        <f ca="1">IFERROR(__xludf.DUMMYFUNCTION("IMPORTRANGE(""https://docs.google.com/spreadsheets/d/1SX6NBoVAgQJ6U1MVXOaj8PK2l7WJ3RER9xtqwdhxkhw/edit?usp=sharing"",""ตราด!J409"")"),0)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IFERROR(__xludf.DUMMYFUNCTION("IMPORTRANGE(""https://docs.google.com/spreadsheets/d/1SX6NBoVAgQJ6U1MVXOaj8PK2l7WJ3RER9xtqwdhxkhw/edit?usp=sharing"",""ตราด!I410"")"),0)</f>
        <v>0</v>
      </c>
      <c r="J515" s="198">
        <f ca="1">IFERROR(__xludf.DUMMYFUNCTION("IMPORTRANGE(""https://docs.google.com/spreadsheets/d/1SX6NBoVAgQJ6U1MVXOaj8PK2l7WJ3RER9xtqwdhxkhw/edit?usp=sharing"",""ตราด!J410"")"),0)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IFERROR(__xludf.DUMMYFUNCTION("IMPORTRANGE(""https://docs.google.com/spreadsheets/d/1SX6NBoVAgQJ6U1MVXOaj8PK2l7WJ3RER9xtqwdhxkhw/edit?usp=sharing"",""ตราด!I411"")"),0)</f>
        <v>0</v>
      </c>
      <c r="J516" s="268">
        <f ca="1">IFERROR(__xludf.DUMMYFUNCTION("IMPORTRANGE(""https://docs.google.com/spreadsheets/d/1SX6NBoVAgQJ6U1MVXOaj8PK2l7WJ3RER9xtqwdhxkhw/edit?usp=sharing"",""ตราด!J411"")"),0)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IFERROR(__xludf.DUMMYFUNCTION("IMPORTRANGE(""https://docs.google.com/spreadsheets/d/1SX6NBoVAgQJ6U1MVXOaj8PK2l7WJ3RER9xtqwdhxkhw/edit?usp=sharing"",""ตราด!I412"")"),0)</f>
        <v>0</v>
      </c>
      <c r="J517" s="285">
        <f ca="1">IFERROR(__xludf.DUMMYFUNCTION("IMPORTRANGE(""https://docs.google.com/spreadsheets/d/1SX6NBoVAgQJ6U1MVXOaj8PK2l7WJ3RER9xtqwdhxkhw/edit?usp=sharing"",""ตราด!J412"")"),0)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IFERROR(__xludf.DUMMYFUNCTION("IMPORTRANGE(""https://docs.google.com/spreadsheets/d/1SX6NBoVAgQJ6U1MVXOaj8PK2l7WJ3RER9xtqwdhxkhw/edit?usp=sharing"",""ตราด!I413"")"),0)</f>
        <v>0</v>
      </c>
      <c r="J518" s="285">
        <f ca="1">IFERROR(__xludf.DUMMYFUNCTION("IMPORTRANGE(""https://docs.google.com/spreadsheets/d/1SX6NBoVAgQJ6U1MVXOaj8PK2l7WJ3RER9xtqwdhxkhw/edit?usp=sharing"",""ตราด!J413"")"),0)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IFERROR(__xludf.DUMMYFUNCTION("IMPORTRANGE(""https://docs.google.com/spreadsheets/d/1SX6NBoVAgQJ6U1MVXOaj8PK2l7WJ3RER9xtqwdhxkhw/edit?usp=sharing"",""ตราด!I414"")"),0)</f>
        <v>0</v>
      </c>
      <c r="J519" s="188">
        <f ca="1">IFERROR(__xludf.DUMMYFUNCTION("IMPORTRANGE(""https://docs.google.com/spreadsheets/d/1SX6NBoVAgQJ6U1MVXOaj8PK2l7WJ3RER9xtqwdhxkhw/edit?usp=sharing"",""ตราด!J414"")"),0)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IFERROR(__xludf.DUMMYFUNCTION("IMPORTRANGE(""https://docs.google.com/spreadsheets/d/1SX6NBoVAgQJ6U1MVXOaj8PK2l7WJ3RER9xtqwdhxkhw/edit?usp=sharing"",""ตราด!I415"")"),0)</f>
        <v>0</v>
      </c>
      <c r="J520" s="188">
        <f ca="1">IFERROR(__xludf.DUMMYFUNCTION("IMPORTRANGE(""https://docs.google.com/spreadsheets/d/1SX6NBoVAgQJ6U1MVXOaj8PK2l7WJ3RER9xtqwdhxkhw/edit?usp=sharing"",""ตราด!J415"")"),0)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IFERROR(__xludf.DUMMYFUNCTION("IMPORTRANGE(""https://docs.google.com/spreadsheets/d/1SX6NBoVAgQJ6U1MVXOaj8PK2l7WJ3RER9xtqwdhxkhw/edit?usp=sharing"",""ตราด!I416"")"),0)</f>
        <v>0</v>
      </c>
      <c r="J521" s="188">
        <f ca="1">IFERROR(__xludf.DUMMYFUNCTION("IMPORTRANGE(""https://docs.google.com/spreadsheets/d/1SX6NBoVAgQJ6U1MVXOaj8PK2l7WJ3RER9xtqwdhxkhw/edit?usp=sharing"",""ตราด!J416"")"),0)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IFERROR(__xludf.DUMMYFUNCTION("IMPORTRANGE(""https://docs.google.com/spreadsheets/d/1SX6NBoVAgQJ6U1MVXOaj8PK2l7WJ3RER9xtqwdhxkhw/edit?usp=sharing"",""ตราด!I417"")"),0)</f>
        <v>0</v>
      </c>
      <c r="J522" s="188">
        <f ca="1">IFERROR(__xludf.DUMMYFUNCTION("IMPORTRANGE(""https://docs.google.com/spreadsheets/d/1SX6NBoVAgQJ6U1MVXOaj8PK2l7WJ3RER9xtqwdhxkhw/edit?usp=sharing"",""ตราด!J417"")"),0)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IFERROR(__xludf.DUMMYFUNCTION("IMPORTRANGE(""https://docs.google.com/spreadsheets/d/1SX6NBoVAgQJ6U1MVXOaj8PK2l7WJ3RER9xtqwdhxkhw/edit?usp=sharing"",""ตราด!I418"")"),0)</f>
        <v>0</v>
      </c>
      <c r="J523" s="188">
        <f ca="1">IFERROR(__xludf.DUMMYFUNCTION("IMPORTRANGE(""https://docs.google.com/spreadsheets/d/1SX6NBoVAgQJ6U1MVXOaj8PK2l7WJ3RER9xtqwdhxkhw/edit?usp=sharing"",""ตราด!J418"")"),0)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IFERROR(__xludf.DUMMYFUNCTION("IMPORTRANGE(""https://docs.google.com/spreadsheets/d/1SX6NBoVAgQJ6U1MVXOaj8PK2l7WJ3RER9xtqwdhxkhw/edit?usp=sharing"",""ตราด!I419"")"),0)</f>
        <v>0</v>
      </c>
      <c r="J524" s="188">
        <f ca="1">IFERROR(__xludf.DUMMYFUNCTION("IMPORTRANGE(""https://docs.google.com/spreadsheets/d/1SX6NBoVAgQJ6U1MVXOaj8PK2l7WJ3RER9xtqwdhxkhw/edit?usp=sharing"",""ตราด!J419"")"),0)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IFERROR(__xludf.DUMMYFUNCTION("IMPORTRANGE(""https://docs.google.com/spreadsheets/d/1SX6NBoVAgQJ6U1MVXOaj8PK2l7WJ3RER9xtqwdhxkhw/edit?usp=sharing"",""ตราด!I420"")"),0)</f>
        <v>0</v>
      </c>
      <c r="J525" s="285">
        <f ca="1">IFERROR(__xludf.DUMMYFUNCTION("IMPORTRANGE(""https://docs.google.com/spreadsheets/d/1SX6NBoVAgQJ6U1MVXOaj8PK2l7WJ3RER9xtqwdhxkhw/edit?usp=sharing"",""ตราด!J420"")"),0)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IFERROR(__xludf.DUMMYFUNCTION("IMPORTRANGE(""https://docs.google.com/spreadsheets/d/1SX6NBoVAgQJ6U1MVXOaj8PK2l7WJ3RER9xtqwdhxkhw/edit?usp=sharing"",""ตราด!I421"")"),0)</f>
        <v>0</v>
      </c>
      <c r="J526" s="285">
        <f ca="1">IFERROR(__xludf.DUMMYFUNCTION("IMPORTRANGE(""https://docs.google.com/spreadsheets/d/1SX6NBoVAgQJ6U1MVXOaj8PK2l7WJ3RER9xtqwdhxkhw/edit?usp=sharing"",""ตราด!J421"")"),0)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IFERROR(__xludf.DUMMYFUNCTION("IMPORTRANGE(""https://docs.google.com/spreadsheets/d/1SX6NBoVAgQJ6U1MVXOaj8PK2l7WJ3RER9xtqwdhxkhw/edit?usp=sharing"",""ตราด!I422"")"),0)</f>
        <v>0</v>
      </c>
      <c r="J527" s="198">
        <f ca="1">IFERROR(__xludf.DUMMYFUNCTION("IMPORTRANGE(""https://docs.google.com/spreadsheets/d/1SX6NBoVAgQJ6U1MVXOaj8PK2l7WJ3RER9xtqwdhxkhw/edit?usp=sharing"",""ตราด!J422"")"),0)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IFERROR(__xludf.DUMMYFUNCTION("IMPORTRANGE(""https://docs.google.com/spreadsheets/d/1SX6NBoVAgQJ6U1MVXOaj8PK2l7WJ3RER9xtqwdhxkhw/edit?usp=sharing"",""ตราด!I423"")"),0)</f>
        <v>0</v>
      </c>
      <c r="J528" s="198">
        <f ca="1">IFERROR(__xludf.DUMMYFUNCTION("IMPORTRANGE(""https://docs.google.com/spreadsheets/d/1SX6NBoVAgQJ6U1MVXOaj8PK2l7WJ3RER9xtqwdhxkhw/edit?usp=sharing"",""ตราด!J423"")"),0)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IFERROR(__xludf.DUMMYFUNCTION("IMPORTRANGE(""https://docs.google.com/spreadsheets/d/1SX6NBoVAgQJ6U1MVXOaj8PK2l7WJ3RER9xtqwdhxkhw/edit?usp=sharing"",""ตราด!I424"")"),0)</f>
        <v>0</v>
      </c>
      <c r="J529" s="198">
        <f ca="1">IFERROR(__xludf.DUMMYFUNCTION("IMPORTRANGE(""https://docs.google.com/spreadsheets/d/1SX6NBoVAgQJ6U1MVXOaj8PK2l7WJ3RER9xtqwdhxkhw/edit?usp=sharing"",""ตราด!J424"")"),0)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IFERROR(__xludf.DUMMYFUNCTION("IMPORTRANGE(""https://docs.google.com/spreadsheets/d/1SX6NBoVAgQJ6U1MVXOaj8PK2l7WJ3RER9xtqwdhxkhw/edit?usp=sharing"",""ตราด!I425"")"),0)</f>
        <v>0</v>
      </c>
      <c r="J530" s="198">
        <f ca="1">IFERROR(__xludf.DUMMYFUNCTION("IMPORTRANGE(""https://docs.google.com/spreadsheets/d/1SX6NBoVAgQJ6U1MVXOaj8PK2l7WJ3RER9xtqwdhxkhw/edit?usp=sharing"",""ตราด!J425"")"),0)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IFERROR(__xludf.DUMMYFUNCTION("IMPORTRANGE(""https://docs.google.com/spreadsheets/d/1SX6NBoVAgQJ6U1MVXOaj8PK2l7WJ3RER9xtqwdhxkhw/edit?usp=sharing"",""ตราด!I426"")"),0)</f>
        <v>0</v>
      </c>
      <c r="J531" s="198">
        <f ca="1">IFERROR(__xludf.DUMMYFUNCTION("IMPORTRANGE(""https://docs.google.com/spreadsheets/d/1SX6NBoVAgQJ6U1MVXOaj8PK2l7WJ3RER9xtqwdhxkhw/edit?usp=sharing"",""ตราด!J426"")"),0)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IFERROR(__xludf.DUMMYFUNCTION("IMPORTRANGE(""https://docs.google.com/spreadsheets/d/1SX6NBoVAgQJ6U1MVXOaj8PK2l7WJ3RER9xtqwdhxkhw/edit?usp=sharing"",""ตราด!M428"")"),23464)</f>
        <v>23464</v>
      </c>
      <c r="O533" s="412">
        <f t="shared" ref="O533:O537" ca="1" si="118">+IF(L533&gt;0,N533*100/L533,0)</f>
        <v>68.328479906814209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IFERROR(__xludf.DUMMYFUNCTION("IMPORTRANGE(""https://docs.google.com/spreadsheets/d/1SX6NBoVAgQJ6U1MVXOaj8PK2l7WJ3RER9xtqwdhxkhw/edit?usp=sharing"",""ตราด!L429"")"),0)</f>
        <v>0</v>
      </c>
      <c r="M534" s="164"/>
      <c r="N534" s="169">
        <f ca="1">IFERROR(__xludf.DUMMYFUNCTION("IMPORTRANGE(""https://docs.google.com/spreadsheets/d/1SX6NBoVAgQJ6U1MVXOaj8PK2l7WJ3RER9xtqwdhxkhw/edit?usp=sharing"",""ตราด!M429"")"),0)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IFERROR(__xludf.DUMMYFUNCTION("IMPORTRANGE(""https://docs.google.com/spreadsheets/d/1SX6NBoVAgQJ6U1MVXOaj8PK2l7WJ3RER9xtqwdhxkhw/edit?usp=sharing"",""ตราด!L430"")"),34340)</f>
        <v>34340</v>
      </c>
      <c r="M535" s="165"/>
      <c r="N535" s="169">
        <f ca="1">IFERROR(__xludf.DUMMYFUNCTION("IMPORTRANGE(""https://docs.google.com/spreadsheets/d/1SX6NBoVAgQJ6U1MVXOaj8PK2l7WJ3RER9xtqwdhxkhw/edit?usp=sharing"",""ตราด!M430"")"),23464)</f>
        <v>23464</v>
      </c>
      <c r="O535" s="169">
        <f t="shared" ca="1" si="118"/>
        <v>68.328479906814209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IFERROR(__xludf.DUMMYFUNCTION("IMPORTRANGE(""https://docs.google.com/spreadsheets/d/1SX6NBoVAgQJ6U1MVXOaj8PK2l7WJ3RER9xtqwdhxkhw/edit?usp=sharing"",""ตราด!L431"")"),0)</f>
        <v>0</v>
      </c>
      <c r="M536" s="169"/>
      <c r="N536" s="169">
        <f ca="1">IFERROR(__xludf.DUMMYFUNCTION("IMPORTRANGE(""https://docs.google.com/spreadsheets/d/1SX6NBoVAgQJ6U1MVXOaj8PK2l7WJ3RER9xtqwdhxkhw/edit?usp=sharing"",""ตราด!M431"")"),0)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IFERROR(__xludf.DUMMYFUNCTION("IMPORTRANGE(""https://docs.google.com/spreadsheets/d/1SX6NBoVAgQJ6U1MVXOaj8PK2l7WJ3RER9xtqwdhxkhw/edit?usp=sharing"",""ตราด!L432"")"),34340)</f>
        <v>34340</v>
      </c>
      <c r="M537" s="169"/>
      <c r="N537" s="169">
        <f ca="1">IFERROR(__xludf.DUMMYFUNCTION("IMPORTRANGE(""https://docs.google.com/spreadsheets/d/1SX6NBoVAgQJ6U1MVXOaj8PK2l7WJ3RER9xtqwdhxkhw/edit?usp=sharing"",""ตราด!M432"")"),23464)</f>
        <v>23464</v>
      </c>
      <c r="O537" s="169">
        <f t="shared" ca="1" si="118"/>
        <v>68.328479906814209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IFERROR(__xludf.DUMMYFUNCTION("IMPORTRANGE(""https://docs.google.com/spreadsheets/d/1SX6NBoVAgQJ6U1MVXOaj8PK2l7WJ3RER9xtqwdhxkhw/edit?usp=sharing"",""ตราด!M434"")"),0)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IFERROR(__xludf.DUMMYFUNCTION("IMPORTRANGE(""https://docs.google.com/spreadsheets/d/1SX6NBoVAgQJ6U1MVXOaj8PK2l7WJ3RER9xtqwdhxkhw/edit?usp=sharing"",""ตราด!M435"")"),0)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IFERROR(__xludf.DUMMYFUNCTION("IMPORTRANGE(""https://docs.google.com/spreadsheets/d/1SX6NBoVAgQJ6U1MVXOaj8PK2l7WJ3RER9xtqwdhxkhw/edit?usp=sharing"",""ตราด!M436"")"),6636)</f>
        <v>6636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IFERROR(__xludf.DUMMYFUNCTION("IMPORTRANGE(""https://docs.google.com/spreadsheets/d/1SX6NBoVAgQJ6U1MVXOaj8PK2l7WJ3RER9xtqwdhxkhw/edit?usp=sharing"",""ตราด!J438"")"),0)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IFERROR(__xludf.DUMMYFUNCTION("IMPORTRANGE(""https://docs.google.com/spreadsheets/d/1SX6NBoVAgQJ6U1MVXOaj8PK2l7WJ3RER9xtqwdhxkhw/edit?usp=sharing"",""ตราด!J439"")"),1)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IFERROR(__xludf.DUMMYFUNCTION("IMPORTRANGE(""https://docs.google.com/spreadsheets/d/1SX6NBoVAgQJ6U1MVXOaj8PK2l7WJ3RER9xtqwdhxkhw/edit?usp=sharing"",""ตราด!J440"")"),1)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IFERROR(__xludf.DUMMYFUNCTION("IMPORTRANGE(""https://docs.google.com/spreadsheets/d/1SX6NBoVAgQJ6U1MVXOaj8PK2l7WJ3RER9xtqwdhxkhw/edit?usp=sharing"",""ตราด!J441"")"),1)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IFERROR(__xludf.DUMMYFUNCTION("IMPORTRANGE(""https://docs.google.com/spreadsheets/d/1SX6NBoVAgQJ6U1MVXOaj8PK2l7WJ3RER9xtqwdhxkhw/edit?usp=sharing"",""ตราด!I442"")"),22)</f>
        <v>22</v>
      </c>
      <c r="J547" s="189">
        <f ca="1">IFERROR(__xludf.DUMMYFUNCTION("IMPORTRANGE(""https://docs.google.com/spreadsheets/d/1SX6NBoVAgQJ6U1MVXOaj8PK2l7WJ3RER9xtqwdhxkhw/edit?usp=sharing"",""ตราด!J442"")"),22)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IFERROR(__xludf.DUMMYFUNCTION("IMPORTRANGE(""https://docs.google.com/spreadsheets/d/1SX6NBoVAgQJ6U1MVXOaj8PK2l7WJ3RER9xtqwdhxkhw/edit?usp=sharing"",""ตราด!J166"")"),0)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IFERROR(__xludf.DUMMYFUNCTION("IMPORTRANGE(""https://docs.google.com/spreadsheets/d/1SX6NBoVAgQJ6U1MVXOaj8PK2l7WJ3RER9xtqwdhxkhw/edit?usp=sharing"",""ตราด!J444"")"),0)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IFERROR(__xludf.DUMMYFUNCTION("IMPORTRANGE(""https://docs.google.com/spreadsheets/d/1SX6NBoVAgQJ6U1MVXOaj8PK2l7WJ3RER9xtqwdhxkhw/edit?usp=sharing"",""ตราด!L447"")"),0)</f>
        <v>0</v>
      </c>
      <c r="M552" s="164"/>
      <c r="N552" s="169">
        <f ca="1">IFERROR(__xludf.DUMMYFUNCTION("IMPORTRANGE(""https://docs.google.com/spreadsheets/d/1SX6NBoVAgQJ6U1MVXOaj8PK2l7WJ3RER9xtqwdhxkhw/edit?usp=sharing"",""ตราด!M447"")"),0)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IFERROR(__xludf.DUMMYFUNCTION("IMPORTRANGE(""https://docs.google.com/spreadsheets/d/1SX6NBoVAgQJ6U1MVXOaj8PK2l7WJ3RER9xtqwdhxkhw/edit?usp=sharing"",""ตราด!L448"")"),0)</f>
        <v>0</v>
      </c>
      <c r="M553" s="165"/>
      <c r="N553" s="169">
        <f ca="1">IFERROR(__xludf.DUMMYFUNCTION("IMPORTRANGE(""https://docs.google.com/spreadsheets/d/1SX6NBoVAgQJ6U1MVXOaj8PK2l7WJ3RER9xtqwdhxkhw/edit?usp=sharing"",""ตราด!M448"")"),0)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IFERROR(__xludf.DUMMYFUNCTION("IMPORTRANGE(""https://docs.google.com/spreadsheets/d/1SX6NBoVAgQJ6U1MVXOaj8PK2l7WJ3RER9xtqwdhxkhw/edit?usp=sharing"",""ตราด!L449"")"),0)</f>
        <v>0</v>
      </c>
      <c r="M554" s="169"/>
      <c r="N554" s="169">
        <f ca="1">IFERROR(__xludf.DUMMYFUNCTION("IMPORTRANGE(""https://docs.google.com/spreadsheets/d/1SX6NBoVAgQJ6U1MVXOaj8PK2l7WJ3RER9xtqwdhxkhw/edit?usp=sharing"",""ตราด!M449"")"),0)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IFERROR(__xludf.DUMMYFUNCTION("IMPORTRANGE(""https://docs.google.com/spreadsheets/d/1SX6NBoVAgQJ6U1MVXOaj8PK2l7WJ3RER9xtqwdhxkhw/edit?usp=sharing"",""ตราด!L450"")"),0)</f>
        <v>0</v>
      </c>
      <c r="M555" s="169"/>
      <c r="N555" s="169">
        <f ca="1">IFERROR(__xludf.DUMMYFUNCTION("IMPORTRANGE(""https://docs.google.com/spreadsheets/d/1SX6NBoVAgQJ6U1MVXOaj8PK2l7WJ3RER9xtqwdhxkhw/edit?usp=sharing"",""ตราด!M450"")"),0)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IFERROR(__xludf.DUMMYFUNCTION("IMPORTRANGE(""https://docs.google.com/spreadsheets/d/1SX6NBoVAgQJ6U1MVXOaj8PK2l7WJ3RER9xtqwdhxkhw/edit?usp=sharing"",""ตราด!M451"")"),0)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IFERROR(__xludf.DUMMYFUNCTION("IMPORTRANGE(""https://docs.google.com/spreadsheets/d/1SX6NBoVAgQJ6U1MVXOaj8PK2l7WJ3RER9xtqwdhxkhw/edit?usp=sharing"",""ตราด!M452"")"),0)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IFERROR(__xludf.DUMMYFUNCTION("IMPORTRANGE(""https://docs.google.com/spreadsheets/d/1SX6NBoVAgQJ6U1MVXOaj8PK2l7WJ3RER9xtqwdhxkhw/edit?usp=sharing"",""ตราด!M453"")"),0)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IFERROR(__xludf.DUMMYFUNCTION("IMPORTRANGE(""https://docs.google.com/spreadsheets/d/1SX6NBoVAgQJ6U1MVXOaj8PK2l7WJ3RER9xtqwdhxkhw/edit?usp=sharing"",""ตราด!M454"")"),0)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IFERROR(__xludf.DUMMYFUNCTION("IMPORTRANGE(""https://docs.google.com/spreadsheets/d/1SX6NBoVAgQJ6U1MVXOaj8PK2l7WJ3RER9xtqwdhxkhw/edit?usp=sharing"",""ตราด!I455"")"),0)</f>
        <v>0</v>
      </c>
      <c r="J560" s="162">
        <f ca="1">IFERROR(__xludf.DUMMYFUNCTION("IMPORTRANGE(""https://docs.google.com/spreadsheets/d/1SX6NBoVAgQJ6U1MVXOaj8PK2l7WJ3RER9xtqwdhxkhw/edit?usp=sharing"",""ตราด!J455"")"),0)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IFERROR(__xludf.DUMMYFUNCTION("IMPORTRANGE(""https://docs.google.com/spreadsheets/d/1SX6NBoVAgQJ6U1MVXOaj8PK2l7WJ3RER9xtqwdhxkhw/edit?usp=sharing"",""ตราด!I456"")"),0)</f>
        <v>0</v>
      </c>
      <c r="J561" s="204">
        <f ca="1">IFERROR(__xludf.DUMMYFUNCTION("IMPORTRANGE(""https://docs.google.com/spreadsheets/d/1SX6NBoVAgQJ6U1MVXOaj8PK2l7WJ3RER9xtqwdhxkhw/edit?usp=sharing"",""ตราด!J456"")"),0)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IFERROR(__xludf.DUMMYFUNCTION("IMPORTRANGE(""https://docs.google.com/spreadsheets/d/1SX6NBoVAgQJ6U1MVXOaj8PK2l7WJ3RER9xtqwdhxkhw/edit?usp=sharing"",""ตราด!J459"")"),850)</f>
        <v>850</v>
      </c>
      <c r="K564" s="372">
        <f ca="1">IF(I564&gt;0,J564*100/I564,0)</f>
        <v>121.42857142857143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IFERROR(__xludf.DUMMYFUNCTION("IMPORTRANGE(""https://docs.google.com/spreadsheets/d/1SX6NBoVAgQJ6U1MVXOaj8PK2l7WJ3RER9xtqwdhxkhw/edit?usp=sharing"",""ตราด!M459"")"),61955)</f>
        <v>61955</v>
      </c>
      <c r="O564" s="373">
        <f t="shared" ref="O564:O568" ca="1" si="122">+IF(L564&gt;0,N564*100/L564,0)</f>
        <v>51.321239231278994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IFERROR(__xludf.DUMMYFUNCTION("IMPORTRANGE(""https://docs.google.com/spreadsheets/d/1SX6NBoVAgQJ6U1MVXOaj8PK2l7WJ3RER9xtqwdhxkhw/edit?usp=sharing"",""ตราด!L460"")"),0)</f>
        <v>0</v>
      </c>
      <c r="M565" s="164"/>
      <c r="N565" s="169">
        <f ca="1">IFERROR(__xludf.DUMMYFUNCTION("IMPORTRANGE(""https://docs.google.com/spreadsheets/d/1SX6NBoVAgQJ6U1MVXOaj8PK2l7WJ3RER9xtqwdhxkhw/edit?usp=sharing"",""ตราด!M460"")"),0)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IFERROR(__xludf.DUMMYFUNCTION("IMPORTRANGE(""https://docs.google.com/spreadsheets/d/1SX6NBoVAgQJ6U1MVXOaj8PK2l7WJ3RER9xtqwdhxkhw/edit?usp=sharing"",""ตราด!L461"")"),120720)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IFERROR(__xludf.DUMMYFUNCTION("IMPORTRANGE(""https://docs.google.com/spreadsheets/d/1SX6NBoVAgQJ6U1MVXOaj8PK2l7WJ3RER9xtqwdhxkhw/edit?usp=sharing"",""ตราด!M461"")"),61955)</f>
        <v>61955</v>
      </c>
      <c r="O566" s="169">
        <f t="shared" ca="1" si="122"/>
        <v>51.321239231278994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IFERROR(__xludf.DUMMYFUNCTION("IMPORTRANGE(""https://docs.google.com/spreadsheets/d/1SX6NBoVAgQJ6U1MVXOaj8PK2l7WJ3RER9xtqwdhxkhw/edit?usp=sharing"",""ตราด!L462"")"),0)</f>
        <v>0</v>
      </c>
      <c r="M567" s="169"/>
      <c r="N567" s="169">
        <f ca="1">IFERROR(__xludf.DUMMYFUNCTION("IMPORTRANGE(""https://docs.google.com/spreadsheets/d/1SX6NBoVAgQJ6U1MVXOaj8PK2l7WJ3RER9xtqwdhxkhw/edit?usp=sharing"",""ตราด!M462"")"),0)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IFERROR(__xludf.DUMMYFUNCTION("IMPORTRANGE(""https://docs.google.com/spreadsheets/d/1SX6NBoVAgQJ6U1MVXOaj8PK2l7WJ3RER9xtqwdhxkhw/edit?usp=sharing"",""ตราด!L463"")"),120720)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IFERROR(__xludf.DUMMYFUNCTION("IMPORTRANGE(""https://docs.google.com/spreadsheets/d/1SX6NBoVAgQJ6U1MVXOaj8PK2l7WJ3RER9xtqwdhxkhw/edit?usp=sharing"",""ตราด!M463"")"),61955)</f>
        <v>61955</v>
      </c>
      <c r="O568" s="169">
        <f t="shared" ca="1" si="122"/>
        <v>51.321239231278994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IFERROR(__xludf.DUMMYFUNCTION("IMPORTRANGE(""https://docs.google.com/spreadsheets/d/1SX6NBoVAgQJ6U1MVXOaj8PK2l7WJ3RER9xtqwdhxkhw/edit?usp=sharing"",""ตราด!M464"")"),0)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IFERROR(__xludf.DUMMYFUNCTION("IMPORTRANGE(""https://docs.google.com/spreadsheets/d/1SX6NBoVAgQJ6U1MVXOaj8PK2l7WJ3RER9xtqwdhxkhw/edit?usp=sharing"",""ตราด!M465"")"),0)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IFERROR(__xludf.DUMMYFUNCTION("IMPORTRANGE(""https://docs.google.com/spreadsheets/d/1SX6NBoVAgQJ6U1MVXOaj8PK2l7WJ3RER9xtqwdhxkhw/edit?usp=sharing"",""ตราด!M466"")"),53935)</f>
        <v>53935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IFERROR(__xludf.DUMMYFUNCTION("IMPORTRANGE(""https://docs.google.com/spreadsheets/d/1SX6NBoVAgQJ6U1MVXOaj8PK2l7WJ3RER9xtqwdhxkhw/edit?usp=sharing"",""ตราด!M467"")"),8020)</f>
        <v>8020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IFERROR(__xludf.DUMMYFUNCTION("IMPORTRANGE(""https://docs.google.com/spreadsheets/d/1SX6NBoVAgQJ6U1MVXOaj8PK2l7WJ3RER9xtqwdhxkhw/edit?usp=sharing"",""ตราด!J468"")"),850)</f>
        <v>850</v>
      </c>
      <c r="K573" s="202">
        <f ca="1">IF(I573&gt;0,J573*100/I573,0)</f>
        <v>121.42857142857143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IFERROR(__xludf.DUMMYFUNCTION("IMPORTRANGE(""https://docs.google.com/spreadsheets/d/1SX6NBoVAgQJ6U1MVXOaj8PK2l7WJ3RER9xtqwdhxkhw/edit?usp=sharing"",""ตราด!I470"")"),0)</f>
        <v>0</v>
      </c>
      <c r="J575" s="198">
        <f ca="1">IFERROR(__xludf.DUMMYFUNCTION("IMPORTRANGE(""https://docs.google.com/spreadsheets/d/1SX6NBoVAgQJ6U1MVXOaj8PK2l7WJ3RER9xtqwdhxkhw/edit?usp=sharing"",""ตราด!J470"")"),2)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IFERROR(__xludf.DUMMYFUNCTION("IMPORTRANGE(""https://docs.google.com/spreadsheets/d/1SX6NBoVAgQJ6U1MVXOaj8PK2l7WJ3RER9xtqwdhxkhw/edit?usp=sharing"",""ตราด!I471"")"),0)</f>
        <v>0</v>
      </c>
      <c r="J576" s="198">
        <f ca="1">IFERROR(__xludf.DUMMYFUNCTION("IMPORTRANGE(""https://docs.google.com/spreadsheets/d/1SX6NBoVAgQJ6U1MVXOaj8PK2l7WJ3RER9xtqwdhxkhw/edit?usp=sharing"",""ตราด!J471"")"),45)</f>
        <v>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IFERROR(__xludf.DUMMYFUNCTION("IMPORTRANGE(""https://docs.google.com/spreadsheets/d/1SX6NBoVAgQJ6U1MVXOaj8PK2l7WJ3RER9xtqwdhxkhw/edit?usp=sharing"",""ตราด!I472"")"),0)</f>
        <v>0</v>
      </c>
      <c r="J577" s="189">
        <f ca="1">IFERROR(__xludf.DUMMYFUNCTION("IMPORTRANGE(""https://docs.google.com/spreadsheets/d/1SX6NBoVAgQJ6U1MVXOaj8PK2l7WJ3RER9xtqwdhxkhw/edit?usp=sharing"",""ตราด!J472"")"),805)</f>
        <v>805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IFERROR(__xludf.DUMMYFUNCTION("IMPORTRANGE(""https://docs.google.com/spreadsheets/d/1SX6NBoVAgQJ6U1MVXOaj8PK2l7WJ3RER9xtqwdhxkhw/edit?usp=sharing"",""ตราด!I473"")"),0)</f>
        <v>0</v>
      </c>
      <c r="J578" s="198">
        <f ca="1">IFERROR(__xludf.DUMMYFUNCTION("IMPORTRANGE(""https://docs.google.com/spreadsheets/d/1SX6NBoVAgQJ6U1MVXOaj8PK2l7WJ3RER9xtqwdhxkhw/edit?usp=sharing"",""ตราด!J473"")"),0)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IFERROR(__xludf.DUMMYFUNCTION("IMPORTRANGE(""https://docs.google.com/spreadsheets/d/1SX6NBoVAgQJ6U1MVXOaj8PK2l7WJ3RER9xtqwdhxkhw/edit?usp=sharing"",""ตราด!I474"")"),0)</f>
        <v>0</v>
      </c>
      <c r="J579" s="198">
        <f ca="1">IFERROR(__xludf.DUMMYFUNCTION("IMPORTRANGE(""https://docs.google.com/spreadsheets/d/1SX6NBoVAgQJ6U1MVXOaj8PK2l7WJ3RER9xtqwdhxkhw/edit?usp=sharing"",""ตราด!J474"")"),0)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IFERROR(__xludf.DUMMYFUNCTION("IMPORTRANGE(""https://docs.google.com/spreadsheets/d/1SX6NBoVAgQJ6U1MVXOaj8PK2l7WJ3RER9xtqwdhxkhw/edit?usp=sharing"",""ตราด!L476"")"),0)</f>
        <v>0</v>
      </c>
      <c r="M581" s="164"/>
      <c r="N581" s="169">
        <f ca="1">IFERROR(__xludf.DUMMYFUNCTION("IMPORTRANGE(""https://docs.google.com/spreadsheets/d/1SX6NBoVAgQJ6U1MVXOaj8PK2l7WJ3RER9xtqwdhxkhw/edit?usp=sharing"",""ตราด!M476"")"),0)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IFERROR(__xludf.DUMMYFUNCTION("IMPORTRANGE(""https://docs.google.com/spreadsheets/d/1SX6NBoVAgQJ6U1MVXOaj8PK2l7WJ3RER9xtqwdhxkhw/edit?usp=sharing"",""ตราด!L477"")"),0)</f>
        <v>0</v>
      </c>
      <c r="M582" s="165"/>
      <c r="N582" s="169">
        <f ca="1">IFERROR(__xludf.DUMMYFUNCTION("IMPORTRANGE(""https://docs.google.com/spreadsheets/d/1SX6NBoVAgQJ6U1MVXOaj8PK2l7WJ3RER9xtqwdhxkhw/edit?usp=sharing"",""ตราด!M477"")"),0)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IFERROR(__xludf.DUMMYFUNCTION("IMPORTRANGE(""https://docs.google.com/spreadsheets/d/1SX6NBoVAgQJ6U1MVXOaj8PK2l7WJ3RER9xtqwdhxkhw/edit?usp=sharing"",""ตราด!L478"")"),0)</f>
        <v>0</v>
      </c>
      <c r="M583" s="169"/>
      <c r="N583" s="169">
        <f ca="1">IFERROR(__xludf.DUMMYFUNCTION("IMPORTRANGE(""https://docs.google.com/spreadsheets/d/1SX6NBoVAgQJ6U1MVXOaj8PK2l7WJ3RER9xtqwdhxkhw/edit?usp=sharing"",""ตราด!M478"")"),0)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IFERROR(__xludf.DUMMYFUNCTION("IMPORTRANGE(""https://docs.google.com/spreadsheets/d/1SX6NBoVAgQJ6U1MVXOaj8PK2l7WJ3RER9xtqwdhxkhw/edit?usp=sharing"",""ตราด!L479"")"),0)</f>
        <v>0</v>
      </c>
      <c r="M584" s="169"/>
      <c r="N584" s="169">
        <f ca="1">IFERROR(__xludf.DUMMYFUNCTION("IMPORTRANGE(""https://docs.google.com/spreadsheets/d/1SX6NBoVAgQJ6U1MVXOaj8PK2l7WJ3RER9xtqwdhxkhw/edit?usp=sharing"",""ตราด!M479"")"),0)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IFERROR(__xludf.DUMMYFUNCTION("IMPORTRANGE(""https://docs.google.com/spreadsheets/d/1SX6NBoVAgQJ6U1MVXOaj8PK2l7WJ3RER9xtqwdhxkhw/edit?usp=sharing"",""ตราด!M480"")"),0)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IFERROR(__xludf.DUMMYFUNCTION("IMPORTRANGE(""https://docs.google.com/spreadsheets/d/1SX6NBoVAgQJ6U1MVXOaj8PK2l7WJ3RER9xtqwdhxkhw/edit?usp=sharing"",""ตราด!M481"")"),0)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IFERROR(__xludf.DUMMYFUNCTION("IMPORTRANGE(""https://docs.google.com/spreadsheets/d/1SX6NBoVAgQJ6U1MVXOaj8PK2l7WJ3RER9xtqwdhxkhw/edit?usp=sharing"",""ตราด!M482"")"),0)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IFERROR(__xludf.DUMMYFUNCTION("IMPORTRANGE(""https://docs.google.com/spreadsheets/d/1SX6NBoVAgQJ6U1MVXOaj8PK2l7WJ3RER9xtqwdhxkhw/edit?usp=sharing"",""ตราด!M483"")"),0)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IFERROR(__xludf.DUMMYFUNCTION("IMPORTRANGE(""https://docs.google.com/spreadsheets/d/1SX6NBoVAgQJ6U1MVXOaj8PK2l7WJ3RER9xtqwdhxkhw/edit?usp=sharing"",""ตราด!I484"")"),0)</f>
        <v>0</v>
      </c>
      <c r="J589" s="188">
        <f ca="1">IFERROR(__xludf.DUMMYFUNCTION("IMPORTRANGE(""https://docs.google.com/spreadsheets/d/1SX6NBoVAgQJ6U1MVXOaj8PK2l7WJ3RER9xtqwdhxkhw/edit?usp=sharing"",""ตราด!J484"")"),0)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8">
        <f ca="1">IFERROR(__xludf.DUMMYFUNCTION("IMPORTRANGE(""https://docs.google.com/spreadsheets/d/1SX6NBoVAgQJ6U1MVXOaj8PK2l7WJ3RER9xtqwdhxkhw/edit?usp=sharing"",""ตราด!J485"")"),0)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IFERROR(__xludf.DUMMYFUNCTION("IMPORTRANGE(""https://docs.google.com/spreadsheets/d/1SX6NBoVAgQJ6U1MVXOaj8PK2l7WJ3RER9xtqwdhxkhw/edit?usp=sharing"",""ตราด!I486"")"),0)</f>
        <v>0</v>
      </c>
      <c r="J591" s="188">
        <f ca="1">IFERROR(__xludf.DUMMYFUNCTION("IMPORTRANGE(""https://docs.google.com/spreadsheets/d/1SX6NBoVAgQJ6U1MVXOaj8PK2l7WJ3RER9xtqwdhxkhw/edit?usp=sharing"",""ตราด!J486"")"),0)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8">
        <f ca="1">IFERROR(__xludf.DUMMYFUNCTION("IMPORTRANGE(""https://docs.google.com/spreadsheets/d/1SX6NBoVAgQJ6U1MVXOaj8PK2l7WJ3RER9xtqwdhxkhw/edit?usp=sharing"",""ตราด!J487"")"),0)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IFERROR(__xludf.DUMMYFUNCTION("IMPORTRANGE(""https://docs.google.com/spreadsheets/d/1SX6NBoVAgQJ6U1MVXOaj8PK2l7WJ3RER9xtqwdhxkhw/edit?usp=sharing"",""ตราด!I488"")"),0)</f>
        <v>0</v>
      </c>
      <c r="J593" s="188">
        <f ca="1">IFERROR(__xludf.DUMMYFUNCTION("IMPORTRANGE(""https://docs.google.com/spreadsheets/d/1SX6NBoVAgQJ6U1MVXOaj8PK2l7WJ3RER9xtqwdhxkhw/edit?usp=sharing"",""ตราด!J488"")"),0)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8">
        <f ca="1">IFERROR(__xludf.DUMMYFUNCTION("IMPORTRANGE(""https://docs.google.com/spreadsheets/d/1SX6NBoVAgQJ6U1MVXOaj8PK2l7WJ3RER9xtqwdhxkhw/edit?usp=sharing"",""ตราด!J489"")"),0)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IFERROR(__xludf.DUMMYFUNCTION("IMPORTRANGE(""https://docs.google.com/spreadsheets/d/1SX6NBoVAgQJ6U1MVXOaj8PK2l7WJ3RER9xtqwdhxkhw/edit?usp=sharing"",""ตราด!I490"")"),0)</f>
        <v>0</v>
      </c>
      <c r="J595" s="188">
        <f ca="1">IFERROR(__xludf.DUMMYFUNCTION("IMPORTRANGE(""https://docs.google.com/spreadsheets/d/1SX6NBoVAgQJ6U1MVXOaj8PK2l7WJ3RER9xtqwdhxkhw/edit?usp=sharing"",""ตราด!J490"")"),0)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IFERROR(__xludf.DUMMYFUNCTION("IMPORTRANGE(""https://docs.google.com/spreadsheets/d/1SX6NBoVAgQJ6U1MVXOaj8PK2l7WJ3RER9xtqwdhxkhw/edit?usp=sharing"",""ตราด!I491"")"),0)</f>
        <v>0</v>
      </c>
      <c r="J596" s="242">
        <f ca="1">IFERROR(__xludf.DUMMYFUNCTION("IMPORTRANGE(""https://docs.google.com/spreadsheets/d/1SX6NBoVAgQJ6U1MVXOaj8PK2l7WJ3RER9xtqwdhxkhw/edit?usp=sharing"",""ตราด!J491"")"),0)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7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IFERROR(__xludf.DUMMYFUNCTION("IMPORTRANGE(""https://docs.google.com/spreadsheets/d/1SX6NBoVAgQJ6U1MVXOaj8PK2l7WJ3RER9xtqwdhxkhw/edit?usp=sharing"",""ตราด!L492"")"),6150)</f>
        <v>6150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55.284552845528452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IFERROR(__xludf.DUMMYFUNCTION("IMPORTRANGE(""https://docs.google.com/spreadsheets/d/1SX6NBoVAgQJ6U1MVXOaj8PK2l7WJ3RER9xtqwdhxkhw/edit?usp=sharing"",""ตราด!L493"")"),0)</f>
        <v>0</v>
      </c>
      <c r="M598" s="164"/>
      <c r="N598" s="169">
        <f ca="1">IFERROR(__xludf.DUMMYFUNCTION("IMPORTRANGE(""https://docs.google.com/spreadsheets/d/1SX6NBoVAgQJ6U1MVXOaj8PK2l7WJ3RER9xtqwdhxkhw/edit?usp=sharing"",""ตราด!M493"")"),0)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IFERROR(__xludf.DUMMYFUNCTION("IMPORTRANGE(""https://docs.google.com/spreadsheets/d/1SX6NBoVAgQJ6U1MVXOaj8PK2l7WJ3RER9xtqwdhxkhw/edit?usp=sharing"",""ตราด!L494"")"),6150)</f>
        <v>6150</v>
      </c>
      <c r="M599" s="165"/>
      <c r="N599" s="169">
        <f ca="1">IFERROR(__xludf.DUMMYFUNCTION("IMPORTRANGE(""https://docs.google.com/spreadsheets/d/1SX6NBoVAgQJ6U1MVXOaj8PK2l7WJ3RER9xtqwdhxkhw/edit?usp=sharing"",""ตราด!M494"")"),3400)</f>
        <v>3400</v>
      </c>
      <c r="O599" s="169">
        <f t="shared" ca="1" si="126"/>
        <v>55.284552845528452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IFERROR(__xludf.DUMMYFUNCTION("IMPORTRANGE(""https://docs.google.com/spreadsheets/d/1SX6NBoVAgQJ6U1MVXOaj8PK2l7WJ3RER9xtqwdhxkhw/edit?usp=sharing"",""ตราด!L495"")"),0)</f>
        <v>0</v>
      </c>
      <c r="M600" s="169"/>
      <c r="N600" s="169">
        <f ca="1">IFERROR(__xludf.DUMMYFUNCTION("IMPORTRANGE(""https://docs.google.com/spreadsheets/d/1SX6NBoVAgQJ6U1MVXOaj8PK2l7WJ3RER9xtqwdhxkhw/edit?usp=sharing"",""ตราด!M495"")"),0)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IFERROR(__xludf.DUMMYFUNCTION("IMPORTRANGE(""https://docs.google.com/spreadsheets/d/1SX6NBoVAgQJ6U1MVXOaj8PK2l7WJ3RER9xtqwdhxkhw/edit?usp=sharing"",""ตราด!L496"")"),6150)</f>
        <v>6150</v>
      </c>
      <c r="M601" s="169"/>
      <c r="N601" s="169">
        <f ca="1">IFERROR(__xludf.DUMMYFUNCTION("IMPORTRANGE(""https://docs.google.com/spreadsheets/d/1SX6NBoVAgQJ6U1MVXOaj8PK2l7WJ3RER9xtqwdhxkhw/edit?usp=sharing"",""ตราด!M496"")"),3400)</f>
        <v>3400</v>
      </c>
      <c r="O601" s="169">
        <f t="shared" ca="1" si="126"/>
        <v>55.284552845528452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IFERROR(__xludf.DUMMYFUNCTION("IMPORTRANGE(""https://docs.google.com/spreadsheets/d/1SX6NBoVAgQJ6U1MVXOaj8PK2l7WJ3RER9xtqwdhxkhw/edit?usp=sharing"",""ตราด!M497"")"),0)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IFERROR(__xludf.DUMMYFUNCTION("IMPORTRANGE(""https://docs.google.com/spreadsheets/d/1SX6NBoVAgQJ6U1MVXOaj8PK2l7WJ3RER9xtqwdhxkhw/edit?usp=sharing"",""ตราด!M498"")"),0)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IFERROR(__xludf.DUMMYFUNCTION("IMPORTRANGE(""https://docs.google.com/spreadsheets/d/1SX6NBoVAgQJ6U1MVXOaj8PK2l7WJ3RER9xtqwdhxkhw/edit?usp=sharing"",""ตราด!M499"")"),0)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IFERROR(__xludf.DUMMYFUNCTION("IMPORTRANGE(""https://docs.google.com/spreadsheets/d/1SX6NBoVAgQJ6U1MVXOaj8PK2l7WJ3RER9xtqwdhxkhw/edit?usp=sharing"",""ตราด!J502"")"),0)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IFERROR(__xludf.DUMMYFUNCTION("IMPORTRANGE(""https://docs.google.com/spreadsheets/d/1SX6NBoVAgQJ6U1MVXOaj8PK2l7WJ3RER9xtqwdhxkhw/edit?usp=sharing"",""ตราด!J503"")"),1)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IFERROR(__xludf.DUMMYFUNCTION("IMPORTRANGE(""https://docs.google.com/spreadsheets/d/1SX6NBoVAgQJ6U1MVXOaj8PK2l7WJ3RER9xtqwdhxkhw/edit?usp=sharing"",""ตราด!J166"")"),0)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IFERROR(__xludf.DUMMYFUNCTION("IMPORTRANGE(""https://docs.google.com/spreadsheets/d/1SX6NBoVAgQJ6U1MVXOaj8PK2l7WJ3RER9xtqwdhxkhw/edit?usp=sharing"",""ตราด!J166"")"),0)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IFERROR(__xludf.DUMMYFUNCTION("IMPORTRANGE(""https://docs.google.com/spreadsheets/d/1SX6NBoVAgQJ6U1MVXOaj8PK2l7WJ3RER9xtqwdhxkhw/edit?usp=sharing"",""ตราด!I506"")"),50)</f>
        <v>50</v>
      </c>
      <c r="J611" s="162">
        <f ca="1">IFERROR(__xludf.DUMMYFUNCTION("IMPORTRANGE(""https://docs.google.com/spreadsheets/d/1SX6NBoVAgQJ6U1MVXOaj8PK2l7WJ3RER9xtqwdhxkhw/edit?usp=sharing"",""ตราด!J506"")"),0)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IFERROR(__xludf.DUMMYFUNCTION("IMPORTRANGE(""https://docs.google.com/spreadsheets/d/1SX6NBoVAgQJ6U1MVXOaj8PK2l7WJ3RER9xtqwdhxkhw/edit?usp=sharing"",""ตราด!I507"")"),0)</f>
        <v>0</v>
      </c>
      <c r="J612" s="198">
        <f ca="1">IFERROR(__xludf.DUMMYFUNCTION("IMPORTRANGE(""https://docs.google.com/spreadsheets/d/1SX6NBoVAgQJ6U1MVXOaj8PK2l7WJ3RER9xtqwdhxkhw/edit?usp=sharing"",""ตราด!J507"")"),0)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IFERROR(__xludf.DUMMYFUNCTION("IMPORTRANGE(""https://docs.google.com/spreadsheets/d/1SX6NBoVAgQJ6U1MVXOaj8PK2l7WJ3RER9xtqwdhxkhw/edit?usp=sharing"",""ตราด!I508"")"),0)</f>
        <v>0</v>
      </c>
      <c r="J613" s="198">
        <f ca="1">IFERROR(__xludf.DUMMYFUNCTION("IMPORTRANGE(""https://docs.google.com/spreadsheets/d/1SX6NBoVAgQJ6U1MVXOaj8PK2l7WJ3RER9xtqwdhxkhw/edit?usp=sharing"",""ตราด!J508"")"),0)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IFERROR(__xludf.DUMMYFUNCTION("IMPORTRANGE(""https://docs.google.com/spreadsheets/d/1SX6NBoVAgQJ6U1MVXOaj8PK2l7WJ3RER9xtqwdhxkhw/edit?usp=sharing"",""ตราด!I509"")"),0)</f>
        <v>0</v>
      </c>
      <c r="J614" s="198">
        <f ca="1">IFERROR(__xludf.DUMMYFUNCTION("IMPORTRANGE(""https://docs.google.com/spreadsheets/d/1SX6NBoVAgQJ6U1MVXOaj8PK2l7WJ3RER9xtqwdhxkhw/edit?usp=sharing"",""ตราด!J509"")"),0)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IFERROR(__xludf.DUMMYFUNCTION("IMPORTRANGE(""https://docs.google.com/spreadsheets/d/1SX6NBoVAgQJ6U1MVXOaj8PK2l7WJ3RER9xtqwdhxkhw/edit?usp=sharing"",""ตราด!I510"")"),0)</f>
        <v>0</v>
      </c>
      <c r="J615" s="198">
        <f ca="1">IFERROR(__xludf.DUMMYFUNCTION("IMPORTRANGE(""https://docs.google.com/spreadsheets/d/1SX6NBoVAgQJ6U1MVXOaj8PK2l7WJ3RER9xtqwdhxkhw/edit?usp=sharing"",""ตราด!J510"")"),0)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IFERROR(__xludf.DUMMYFUNCTION("IMPORTRANGE(""https://docs.google.com/spreadsheets/d/1SX6NBoVAgQJ6U1MVXOaj8PK2l7WJ3RER9xtqwdhxkhw/edit?usp=sharing"",""ตราด!I511"")"),0)</f>
        <v>0</v>
      </c>
      <c r="J616" s="198">
        <f ca="1">IFERROR(__xludf.DUMMYFUNCTION("IMPORTRANGE(""https://docs.google.com/spreadsheets/d/1SX6NBoVAgQJ6U1MVXOaj8PK2l7WJ3RER9xtqwdhxkhw/edit?usp=sharing"",""ตราด!J511"")"),0)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IFERROR(__xludf.DUMMYFUNCTION("IMPORTRANGE(""https://docs.google.com/spreadsheets/d/1SX6NBoVAgQJ6U1MVXOaj8PK2l7WJ3RER9xtqwdhxkhw/edit?usp=sharing"",""ตราด!I512"")"),0)</f>
        <v>0</v>
      </c>
      <c r="J617" s="188">
        <f ca="1">IFERROR(__xludf.DUMMYFUNCTION("IMPORTRANGE(""https://docs.google.com/spreadsheets/d/1SX6NBoVAgQJ6U1MVXOaj8PK2l7WJ3RER9xtqwdhxkhw/edit?usp=sharing"",""ตราด!J512"")"),0)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IFERROR(__xludf.DUMMYFUNCTION("IMPORTRANGE(""https://docs.google.com/spreadsheets/d/1SX6NBoVAgQJ6U1MVXOaj8PK2l7WJ3RER9xtqwdhxkhw/edit?usp=sharing"",""ตราด!I513"")"),0)</f>
        <v>0</v>
      </c>
      <c r="J618" s="189">
        <f ca="1">IFERROR(__xludf.DUMMYFUNCTION("IMPORTRANGE(""https://docs.google.com/spreadsheets/d/1SX6NBoVAgQJ6U1MVXOaj8PK2l7WJ3RER9xtqwdhxkhw/edit?usp=sharing"",""ตราด!J513"")"),0)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IFERROR(__xludf.DUMMYFUNCTION("IMPORTRANGE(""https://docs.google.com/spreadsheets/d/1SX6NBoVAgQJ6U1MVXOaj8PK2l7WJ3RER9xtqwdhxkhw/edit?usp=sharing"",""ตราด!I514"")"),0)</f>
        <v>0</v>
      </c>
      <c r="J619" s="189">
        <f ca="1">IFERROR(__xludf.DUMMYFUNCTION("IMPORTRANGE(""https://docs.google.com/spreadsheets/d/1SX6NBoVAgQJ6U1MVXOaj8PK2l7WJ3RER9xtqwdhxkhw/edit?usp=sharing"",""ตราด!J514"")"),0)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IFERROR(__xludf.DUMMYFUNCTION("IMPORTRANGE(""https://docs.google.com/spreadsheets/d/1SX6NBoVAgQJ6U1MVXOaj8PK2l7WJ3RER9xtqwdhxkhw/edit?usp=sharing"",""ตราด!I515"")"),0)</f>
        <v>0</v>
      </c>
      <c r="J620" s="203">
        <f ca="1">IFERROR(__xludf.DUMMYFUNCTION("IMPORTRANGE(""https://docs.google.com/spreadsheets/d/1SX6NBoVAgQJ6U1MVXOaj8PK2l7WJ3RER9xtqwdhxkhw/edit?usp=sharing"",""ตราด!J515"")"),0)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IFERROR(__xludf.DUMMYFUNCTION("IMPORTRANGE(""https://docs.google.com/spreadsheets/d/1SX6NBoVAgQJ6U1MVXOaj8PK2l7WJ3RER9xtqwdhxkhw/edit?usp=sharing"",""ตราด!I516"")"),0)</f>
        <v>0</v>
      </c>
      <c r="J621" s="203">
        <f ca="1">IFERROR(__xludf.DUMMYFUNCTION("IMPORTRANGE(""https://docs.google.com/spreadsheets/d/1SX6NBoVAgQJ6U1MVXOaj8PK2l7WJ3RER9xtqwdhxkhw/edit?usp=sharing"",""ตราด!J516"")"),0)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IFERROR(__xludf.DUMMYFUNCTION("IMPORTRANGE(""https://docs.google.com/spreadsheets/d/1SX6NBoVAgQJ6U1MVXOaj8PK2l7WJ3RER9xtqwdhxkhw/edit?usp=sharing"",""ตราด!I517"")"),0)</f>
        <v>0</v>
      </c>
      <c r="J622" s="189">
        <f ca="1">IFERROR(__xludf.DUMMYFUNCTION("IMPORTRANGE(""https://docs.google.com/spreadsheets/d/1SX6NBoVAgQJ6U1MVXOaj8PK2l7WJ3RER9xtqwdhxkhw/edit?usp=sharing"",""ตราด!J517"")"),0)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IFERROR(__xludf.DUMMYFUNCTION("IMPORTRANGE(""https://docs.google.com/spreadsheets/d/1SX6NBoVAgQJ6U1MVXOaj8PK2l7WJ3RER9xtqwdhxkhw/edit?usp=sharing"",""ตราด!I518"")"),0)</f>
        <v>0</v>
      </c>
      <c r="J623" s="189">
        <f ca="1">IFERROR(__xludf.DUMMYFUNCTION("IMPORTRANGE(""https://docs.google.com/spreadsheets/d/1SX6NBoVAgQJ6U1MVXOaj8PK2l7WJ3RER9xtqwdhxkhw/edit?usp=sharing"",""ตราด!J518"")"),0)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IFERROR(__xludf.DUMMYFUNCTION("IMPORTRANGE(""https://docs.google.com/spreadsheets/d/1SX6NBoVAgQJ6U1MVXOaj8PK2l7WJ3RER9xtqwdhxkhw/edit?usp=sharing"",""ตราด!I519"")"),0)</f>
        <v>0</v>
      </c>
      <c r="J624" s="188">
        <f ca="1">IFERROR(__xludf.DUMMYFUNCTION("IMPORTRANGE(""https://docs.google.com/spreadsheets/d/1SX6NBoVAgQJ6U1MVXOaj8PK2l7WJ3RER9xtqwdhxkhw/edit?usp=sharing"",""ตราด!J519"")"),0)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IFERROR(__xludf.DUMMYFUNCTION("IMPORTRANGE(""https://docs.google.com/spreadsheets/d/1SX6NBoVAgQJ6U1MVXOaj8PK2l7WJ3RER9xtqwdhxkhw/edit?usp=sharing"",""ตราด!I520"")"),0)</f>
        <v>0</v>
      </c>
      <c r="J625" s="189">
        <f ca="1">IFERROR(__xludf.DUMMYFUNCTION("IMPORTRANGE(""https://docs.google.com/spreadsheets/d/1SX6NBoVAgQJ6U1MVXOaj8PK2l7WJ3RER9xtqwdhxkhw/edit?usp=sharing"",""ตราด!J520"")"),0)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IFERROR(__xludf.DUMMYFUNCTION("IMPORTRANGE(""https://docs.google.com/spreadsheets/d/1SX6NBoVAgQJ6U1MVXOaj8PK2l7WJ3RER9xtqwdhxkhw/edit?usp=sharing"",""ตราด!I521"")"),0)</f>
        <v>0</v>
      </c>
      <c r="J626" s="189">
        <f ca="1">IFERROR(__xludf.DUMMYFUNCTION("IMPORTRANGE(""https://docs.google.com/spreadsheets/d/1SX6NBoVAgQJ6U1MVXOaj8PK2l7WJ3RER9xtqwdhxkhw/edit?usp=sharing"",""ตราด!J521"")"),0)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IFERROR(__xludf.DUMMYFUNCTION("IMPORTRANGE(""https://docs.google.com/spreadsheets/d/1SX6NBoVAgQJ6U1MVXOaj8PK2l7WJ3RER9xtqwdhxkhw/edit?usp=sharing"",""ตราด!I523"")"),2500000)</f>
        <v>2500000</v>
      </c>
      <c r="J628" s="342">
        <f ca="1">IFERROR(__xludf.DUMMYFUNCTION("IMPORTRANGE(""https://docs.google.com/spreadsheets/d/1SX6NBoVAgQJ6U1MVXOaj8PK2l7WJ3RER9xtqwdhxkhw/edit?usp=sharing"",""ตราด!J523"")"),627731.42)</f>
        <v>627731.42000000004</v>
      </c>
      <c r="K628" s="343">
        <f t="shared" ref="K628:K635" ca="1" si="129">IF(I628&gt;0,J628*100/I628,0)</f>
        <v>25.109256800000004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IFERROR(__xludf.DUMMYFUNCTION("IMPORTRANGE(""https://docs.google.com/spreadsheets/d/1SX6NBoVAgQJ6U1MVXOaj8PK2l7WJ3RER9xtqwdhxkhw/edit?usp=sharing"",""ตราด!I524"")"),117)</f>
        <v>117</v>
      </c>
      <c r="J629" s="342">
        <f ca="1">IFERROR(__xludf.DUMMYFUNCTION("IMPORTRANGE(""https://docs.google.com/spreadsheets/d/1SX6NBoVAgQJ6U1MVXOaj8PK2l7WJ3RER9xtqwdhxkhw/edit?usp=sharing"",""ตราด!J524"")"),35)</f>
        <v>35</v>
      </c>
      <c r="K629" s="343">
        <f t="shared" ca="1" si="129"/>
        <v>29.914529914529915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IFERROR(__xludf.DUMMYFUNCTION("IMPORTRANGE(""https://docs.google.com/spreadsheets/d/1SX6NBoVAgQJ6U1MVXOaj8PK2l7WJ3RER9xtqwdhxkhw/edit?usp=sharing"",""ตราด!I525"")"),1746021.08)</f>
        <v>1746021.08</v>
      </c>
      <c r="J630" s="342">
        <f ca="1">IFERROR(__xludf.DUMMYFUNCTION("IMPORTRANGE(""https://docs.google.com/spreadsheets/d/1SX6NBoVAgQJ6U1MVXOaj8PK2l7WJ3RER9xtqwdhxkhw/edit?usp=sharing"",""ตราด!J525"")"),376415.31)</f>
        <v>376415.31</v>
      </c>
      <c r="K630" s="343">
        <f t="shared" ca="1" si="129"/>
        <v>21.558463085680501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IFERROR(__xludf.DUMMYFUNCTION("IMPORTRANGE(""https://docs.google.com/spreadsheets/d/1SX6NBoVAgQJ6U1MVXOaj8PK2l7WJ3RER9xtqwdhxkhw/edit?usp=sharing"",""ตราด!I526"")"),45)</f>
        <v>45</v>
      </c>
      <c r="J631" s="342">
        <f ca="1">IFERROR(__xludf.DUMMYFUNCTION("IMPORTRANGE(""https://docs.google.com/spreadsheets/d/1SX6NBoVAgQJ6U1MVXOaj8PK2l7WJ3RER9xtqwdhxkhw/edit?usp=sharing"",""ตราด!J526"")"),31)</f>
        <v>31</v>
      </c>
      <c r="K631" s="343">
        <f t="shared" ca="1" si="129"/>
        <v>68.888888888888886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IFERROR(__xludf.DUMMYFUNCTION("IMPORTRANGE(""https://docs.google.com/spreadsheets/d/1SX6NBoVAgQJ6U1MVXOaj8PK2l7WJ3RER9xtqwdhxkhw/edit?usp=sharing"",""ตราด!I527"")"),0)</f>
        <v>0</v>
      </c>
      <c r="J632" s="342">
        <f ca="1">IFERROR(__xludf.DUMMYFUNCTION("IMPORTRANGE(""https://docs.google.com/spreadsheets/d/1SX6NBoVAgQJ6U1MVXOaj8PK2l7WJ3RER9xtqwdhxkhw/edit?usp=sharing"",""ตราด!J527"")"),0)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IFERROR(__xludf.DUMMYFUNCTION("IMPORTRANGE(""https://docs.google.com/spreadsheets/d/1SX6NBoVAgQJ6U1MVXOaj8PK2l7WJ3RER9xtqwdhxkhw/edit?usp=sharing"",""ตราด!I528"")"),0)</f>
        <v>0</v>
      </c>
      <c r="J633" s="342">
        <f ca="1">IFERROR(__xludf.DUMMYFUNCTION("IMPORTRANGE(""https://docs.google.com/spreadsheets/d/1SX6NBoVAgQJ6U1MVXOaj8PK2l7WJ3RER9xtqwdhxkhw/edit?usp=sharing"",""ตราด!J528"")"),0)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IFERROR(__xludf.DUMMYFUNCTION("IMPORTRANGE(""https://docs.google.com/spreadsheets/d/1SX6NBoVAgQJ6U1MVXOaj8PK2l7WJ3RER9xtqwdhxkhw/edit?usp=sharing"",""ตราด!I529"")"),2000000)</f>
        <v>2000000</v>
      </c>
      <c r="J634" s="342">
        <f ca="1">IFERROR(__xludf.DUMMYFUNCTION("IMPORTRANGE(""https://docs.google.com/spreadsheets/d/1SX6NBoVAgQJ6U1MVXOaj8PK2l7WJ3RER9xtqwdhxkhw/edit?usp=sharing"",""ตราด!J529"")"),440000)</f>
        <v>440000</v>
      </c>
      <c r="K634" s="343">
        <f t="shared" ca="1" si="129"/>
        <v>22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IFERROR(__xludf.DUMMYFUNCTION("IMPORTRANGE(""https://docs.google.com/spreadsheets/d/1SX6NBoVAgQJ6U1MVXOaj8PK2l7WJ3RER9xtqwdhxkhw/edit?usp=sharing"",""ตราด!I530"")"),117)</f>
        <v>117</v>
      </c>
      <c r="J635" s="504">
        <f ca="1">IFERROR(__xludf.DUMMYFUNCTION("IMPORTRANGE(""https://docs.google.com/spreadsheets/d/1SX6NBoVAgQJ6U1MVXOaj8PK2l7WJ3RER9xtqwdhxkhw/edit?usp=sharing"",""ตราด!J530"")"),24)</f>
        <v>24</v>
      </c>
      <c r="K635" s="486">
        <f t="shared" ca="1" si="129"/>
        <v>20.512820512820515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IFERROR(__xludf.DUMMYFUNCTION("IMPORTRANGE(""https://docs.google.com/spreadsheets/d/1SX6NBoVAgQJ6U1MVXOaj8PK2l7WJ3RER9xtqwdhxkhw/edit#gid=346597447"",""ตราด!J541"")"),0)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IFERROR(__xludf.DUMMYFUNCTION("IMPORTRANGE(""https://docs.google.com/spreadsheets/d/1SX6NBoVAgQJ6U1MVXOaj8PK2l7WJ3RER9xtqwdhxkhw/edit#gid=346597447"",""ตราด!J542"")"),0)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IFERROR(__xludf.DUMMYFUNCTION("IMPORTRANGE(""https://docs.google.com/spreadsheets/d/1SX6NBoVAgQJ6U1MVXOaj8PK2l7WJ3RER9xtqwdhxkhw/edit#gid=346597447"",""ตราด!I543"")"),0)</f>
        <v>0</v>
      </c>
      <c r="J648" s="536">
        <f ca="1">IFERROR(__xludf.DUMMYFUNCTION("IMPORTRANGE(""https://docs.google.com/spreadsheets/d/1SX6NBoVAgQJ6U1MVXOaj8PK2l7WJ3RER9xtqwdhxkhw/edit#gid=346597447"",""ตราด!J543"")"),0)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IFERROR(__xludf.DUMMYFUNCTION("IMPORTRANGE(""https://docs.google.com/spreadsheets/d/1SX6NBoVAgQJ6U1MVXOaj8PK2l7WJ3RER9xtqwdhxkhw/edit#gid=346597447"",""ตราด!L543"")"),0)</f>
        <v>0</v>
      </c>
      <c r="M648" s="521"/>
      <c r="N648" s="538">
        <f ca="1">IFERROR(__xludf.DUMMYFUNCTION("IMPORTRANGE(""https://docs.google.com/spreadsheets/d/1SX6NBoVAgQJ6U1MVXOaj8PK2l7WJ3RER9xtqwdhxkhw/edit#gid=346597447"",""ตราด!M543"")"),0)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IFERROR(__xludf.DUMMYFUNCTION("IMPORTRANGE(""https://docs.google.com/spreadsheets/d/1SX6NBoVAgQJ6U1MVXOaj8PK2l7WJ3RER9xtqwdhxkhw/edit#gid=346597447"",""ตราด!I544"")"),0)</f>
        <v>0</v>
      </c>
      <c r="J649" s="536">
        <f ca="1">IFERROR(__xludf.DUMMYFUNCTION("IMPORTRANGE(""https://docs.google.com/spreadsheets/d/1SX6NBoVAgQJ6U1MVXOaj8PK2l7WJ3RER9xtqwdhxkhw/edit#gid=346597447"",""ตราด!J544"")"),0)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IFERROR(__xludf.DUMMYFUNCTION("IMPORTRANGE(""https://docs.google.com/spreadsheets/d/1SX6NBoVAgQJ6U1MVXOaj8PK2l7WJ3RER9xtqwdhxkhw/edit#gid=346597447"",""ตราด!L544"")"),0)</f>
        <v>0</v>
      </c>
      <c r="M649" s="521"/>
      <c r="N649" s="538">
        <f ca="1">IFERROR(__xludf.DUMMYFUNCTION("IMPORTRANGE(""https://docs.google.com/spreadsheets/d/1SX6NBoVAgQJ6U1MVXOaj8PK2l7WJ3RER9xtqwdhxkhw/edit#gid=346597447"",""ตราด!M544"")"),0)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IFERROR(__xludf.DUMMYFUNCTION("IMPORTRANGE(""https://docs.google.com/spreadsheets/d/1SX6NBoVAgQJ6U1MVXOaj8PK2l7WJ3RER9xtqwdhxkhw/edit#gid=346597447"",""ตราด!I545"")"),0)</f>
        <v>0</v>
      </c>
      <c r="J650" s="536">
        <f ca="1">IFERROR(__xludf.DUMMYFUNCTION("IMPORTRANGE(""https://docs.google.com/spreadsheets/d/1SX6NBoVAgQJ6U1MVXOaj8PK2l7WJ3RER9xtqwdhxkhw/edit#gid=346597447"",""ตราด!J545"")"),0)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IFERROR(__xludf.DUMMYFUNCTION("IMPORTRANGE(""https://docs.google.com/spreadsheets/d/1SX6NBoVAgQJ6U1MVXOaj8PK2l7WJ3RER9xtqwdhxkhw/edit#gid=346597447"",""ตราด!L545"")"),0)</f>
        <v>0</v>
      </c>
      <c r="M650" s="521"/>
      <c r="N650" s="538">
        <f ca="1">IFERROR(__xludf.DUMMYFUNCTION("IMPORTRANGE(""https://docs.google.com/spreadsheets/d/1SX6NBoVAgQJ6U1MVXOaj8PK2l7WJ3RER9xtqwdhxkhw/edit#gid=346597447"",""ตราด!M545"")"),0)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IFERROR(__xludf.DUMMYFUNCTION("IMPORTRANGE(""https://docs.google.com/spreadsheets/d/1SX6NBoVAgQJ6U1MVXOaj8PK2l7WJ3RER9xtqwdhxkhw/edit#gid=346597447"",""ตราด!I546"")"),0)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IFERROR(__xludf.DUMMYFUNCTION("IMPORTRANGE(""https://docs.google.com/spreadsheets/d/1SX6NBoVAgQJ6U1MVXOaj8PK2l7WJ3RER9xtqwdhxkhw/edit#gid=346597447"",""ตราด!L546"")"),0)</f>
        <v>0</v>
      </c>
      <c r="M651" s="521"/>
      <c r="N651" s="538">
        <f ca="1">IFERROR(__xludf.DUMMYFUNCTION("IMPORTRANGE(""https://docs.google.com/spreadsheets/d/1SX6NBoVAgQJ6U1MVXOaj8PK2l7WJ3RER9xtqwdhxkhw/edit#gid=346597447"",""ตราด!M546"")"),0)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IFERROR(__xludf.DUMMYFUNCTION("IMPORTRANGE(""https://docs.google.com/spreadsheets/d/1SX6NBoVAgQJ6U1MVXOaj8PK2l7WJ3RER9xtqwdhxkhw/edit#gid=346597447"",""ตราด!J547"")"),0)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IFERROR(__xludf.DUMMYFUNCTION("IMPORTRANGE(""https://docs.google.com/spreadsheets/d/1SX6NBoVAgQJ6U1MVXOaj8PK2l7WJ3RER9xtqwdhxkhw/edit#gid=346597447"",""ตราด!J548"")"),0)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IFERROR(__xludf.DUMMYFUNCTION("IMPORTRANGE(""https://docs.google.com/spreadsheets/d/1SX6NBoVAgQJ6U1MVXOaj8PK2l7WJ3RER9xtqwdhxkhw/edit#gid=346597447"",""ตราด!J550"")"),0)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IFERROR(__xludf.DUMMYFUNCTION("IMPORTRANGE(""https://docs.google.com/spreadsheets/d/1SX6NBoVAgQJ6U1MVXOaj8PK2l7WJ3RER9xtqwdhxkhw/edit#gid=346597447"",""ตราด!J551"")"),0)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IFERROR(__xludf.DUMMYFUNCTION("IMPORTRANGE(""https://docs.google.com/spreadsheets/d/1SX6NBoVAgQJ6U1MVXOaj8PK2l7WJ3RER9xtqwdhxkhw/edit#gid=346597447"",""ตราด!J552"")"),0)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IFERROR(__xludf.DUMMYFUNCTION("IMPORTRANGE(""https://docs.google.com/spreadsheets/d/1SX6NBoVAgQJ6U1MVXOaj8PK2l7WJ3RER9xtqwdhxkhw/edit#gid=346597447"",""ตราด!J553"")"),0)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IFERROR(__xludf.DUMMYFUNCTION("IMPORTRANGE(""https://docs.google.com/spreadsheets/d/1SX6NBoVAgQJ6U1MVXOaj8PK2l7WJ3RER9xtqwdhxkhw/edit#gid=346597447"",""ตราด!J554"")"),0)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IFERROR(__xludf.DUMMYFUNCTION("IMPORTRANGE(""https://docs.google.com/spreadsheets/d/1SX6NBoVAgQJ6U1MVXOaj8PK2l7WJ3RER9xtqwdhxkhw/edit#gid=346597447"",""ตราด!J555"")"),0)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IFERROR(__xludf.DUMMYFUNCTION("IMPORTRANGE(""https://docs.google.com/spreadsheets/d/1SX6NBoVAgQJ6U1MVXOaj8PK2l7WJ3RER9xtqwdhxkhw/edit#gid=346597447"",""ตราด!J556"")"),0)</f>
        <v>0</v>
      </c>
      <c r="K661" s="537"/>
      <c r="L661" s="522">
        <f ca="1">IFERROR(__xludf.DUMMYFUNCTION("IMPORTRANGE(""https://docs.google.com/spreadsheets/d/1SX6NBoVAgQJ6U1MVXOaj8PK2l7WJ3RER9xtqwdhxkhw/edit#gid=346597447"",""ตราด!L556"")"),0)</f>
        <v>0</v>
      </c>
      <c r="M661" s="521"/>
      <c r="N661" s="538">
        <f ca="1">IFERROR(__xludf.DUMMYFUNCTION("IMPORTRANGE(""https://docs.google.com/spreadsheets/d/1SX6NBoVAgQJ6U1MVXOaj8PK2l7WJ3RER9xtqwdhxkhw/edit#gid=346597447"",""ตราด!M556"")"),0)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IFERROR(__xludf.DUMMYFUNCTION("IMPORTRANGE(""https://docs.google.com/spreadsheets/d/1SX6NBoVAgQJ6U1MVXOaj8PK2l7WJ3RER9xtqwdhxkhw/edit#gid=346597447"",""ตราด!J557"")"),0)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IFERROR(__xludf.DUMMYFUNCTION("IMPORTRANGE(""https://docs.google.com/spreadsheets/d/1SX6NBoVAgQJ6U1MVXOaj8PK2l7WJ3RER9xtqwdhxkhw/edit#gid=346597447"",""ตราด!I558"")"),0)</f>
        <v>0</v>
      </c>
      <c r="J663" s="536">
        <f ca="1">IFERROR(__xludf.DUMMYFUNCTION("IMPORTRANGE(""https://docs.google.com/spreadsheets/d/1SX6NBoVAgQJ6U1MVXOaj8PK2l7WJ3RER9xtqwdhxkhw/edit#gid=346597447"",""ตราด!J558"")"),0)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IFERROR(__xludf.DUMMYFUNCTION("IMPORTRANGE(""https://docs.google.com/spreadsheets/d/1SX6NBoVAgQJ6U1MVXOaj8PK2l7WJ3RER9xtqwdhxkhw/edit#gid=346597447"",""ตราด!I560"")"),0)</f>
        <v>0</v>
      </c>
      <c r="J665" s="536">
        <f ca="1">IFERROR(__xludf.DUMMYFUNCTION("IMPORTRANGE(""https://docs.google.com/spreadsheets/d/1SX6NBoVAgQJ6U1MVXOaj8PK2l7WJ3RER9xtqwdhxkhw/edit#gid=346597447"",""ตราด!J560"")"),0)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IFERROR(__xludf.DUMMYFUNCTION("IMPORTRANGE(""https://docs.google.com/spreadsheets/d/1SX6NBoVAgQJ6U1MVXOaj8PK2l7WJ3RER9xtqwdhxkhw/edit#gid=346597447"",""ตราด!L560"")"),0)</f>
        <v>0</v>
      </c>
      <c r="M665" s="521"/>
      <c r="N665" s="538">
        <f ca="1">IFERROR(__xludf.DUMMYFUNCTION("IMPORTRANGE(""https://docs.google.com/spreadsheets/d/1SX6NBoVAgQJ6U1MVXOaj8PK2l7WJ3RER9xtqwdhxkhw/edit#gid=346597447"",""ตราด!M560"")"),0)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IFERROR(__xludf.DUMMYFUNCTION("IMPORTRANGE(""https://docs.google.com/spreadsheets/d/1SX6NBoVAgQJ6U1MVXOaj8PK2l7WJ3RER9xtqwdhxkhw/edit#gid=346597447"",""ตราด!J561"")"),0)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IFERROR(__xludf.DUMMYFUNCTION("IMPORTRANGE(""https://docs.google.com/spreadsheets/d/1SX6NBoVAgQJ6U1MVXOaj8PK2l7WJ3RER9xtqwdhxkhw/edit#gid=346597447"",""ตราด!J562"")"),0)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IFERROR(__xludf.DUMMYFUNCTION("IMPORTRANGE(""https://docs.google.com/spreadsheets/d/1SX6NBoVAgQJ6U1MVXOaj8PK2l7WJ3RER9xtqwdhxkhw/edit#gid=346597447"",""ตราด!I563"")"),0)</f>
        <v>0</v>
      </c>
      <c r="J668" s="536">
        <f ca="1">IFERROR(__xludf.DUMMYFUNCTION("IMPORTRANGE(""https://docs.google.com/spreadsheets/d/1SX6NBoVAgQJ6U1MVXOaj8PK2l7WJ3RER9xtqwdhxkhw/edit#gid=346597447"",""ตราด!J563"")"),0)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IFERROR(__xludf.DUMMYFUNCTION("IMPORTRANGE(""https://docs.google.com/spreadsheets/d/1SX6NBoVAgQJ6U1MVXOaj8PK2l7WJ3RER9xtqwdhxkhw/edit#gid=346597447"",""ตราด!L563"")"),0)</f>
        <v>0</v>
      </c>
      <c r="M668" s="521"/>
      <c r="N668" s="538">
        <f ca="1">IFERROR(__xludf.DUMMYFUNCTION("IMPORTRANGE(""https://docs.google.com/spreadsheets/d/1SX6NBoVAgQJ6U1MVXOaj8PK2l7WJ3RER9xtqwdhxkhw/edit#gid=346597447"",""ตราด!M563"")"),0)</f>
        <v>0</v>
      </c>
      <c r="O668" s="537">
        <f ca="1">IF(L668&gt;0,N668*100/L668,0)</f>
        <v>0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IFERROR(__xludf.DUMMYFUNCTION("IMPORTRANGE(""https://docs.google.com/spreadsheets/d/1SX6NBoVAgQJ6U1MVXOaj8PK2l7WJ3RER9xtqwdhxkhw/edit#gid=346597447"",""ตราด!J564"")"),0)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IFERROR(__xludf.DUMMYFUNCTION("IMPORTRANGE(""https://docs.google.com/spreadsheets/d/1SX6NBoVAgQJ6U1MVXOaj8PK2l7WJ3RER9xtqwdhxkhw/edit#gid=346597447"",""ตราด!J565"")"),0)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IFERROR(__xludf.DUMMYFUNCTION("IMPORTRANGE(""https://docs.google.com/spreadsheets/d/1SX6NBoVAgQJ6U1MVXOaj8PK2l7WJ3RER9xtqwdhxkhw/edit#gid=346597447"",""ตราด!I566"")"),0)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IFERROR(__xludf.DUMMYFUNCTION("IMPORTRANGE(""https://docs.google.com/spreadsheets/d/1SX6NBoVAgQJ6U1MVXOaj8PK2l7WJ3RER9xtqwdhxkhw/edit#gid=346597447"",""ตราด!L566"")"),0)</f>
        <v>0</v>
      </c>
      <c r="M671" s="521"/>
      <c r="N671" s="538">
        <f ca="1">IFERROR(__xludf.DUMMYFUNCTION("IMPORTRANGE(""https://docs.google.com/spreadsheets/d/1SX6NBoVAgQJ6U1MVXOaj8PK2l7WJ3RER9xtqwdhxkhw/edit#gid=346597447"",""ตราด!M566"")"),0)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IFERROR(__xludf.DUMMYFUNCTION("IMPORTRANGE(""https://docs.google.com/spreadsheets/d/1SX6NBoVAgQJ6U1MVXOaj8PK2l7WJ3RER9xtqwdhxkhw/edit#gid=346597447"",""ตราด!J567"")"),0)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IFERROR(__xludf.DUMMYFUNCTION("IMPORTRANGE(""https://docs.google.com/spreadsheets/d/1SX6NBoVAgQJ6U1MVXOaj8PK2l7WJ3RER9xtqwdhxkhw/edit#gid=346597447"",""ตราด!J568"")"),0)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IFERROR(__xludf.DUMMYFUNCTION("IMPORTRANGE(""https://docs.google.com/spreadsheets/d/1SX6NBoVAgQJ6U1MVXOaj8PK2l7WJ3RER9xtqwdhxkhw/edit#gid=346597447"",""ตราด!J569"")"),0)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IFERROR(__xludf.DUMMYFUNCTION("IMPORTRANGE(""https://docs.google.com/spreadsheets/d/1SX6NBoVAgQJ6U1MVXOaj8PK2l7WJ3RER9xtqwdhxkhw/edit#gid=346597447"",""ตราด!J570"")"),0)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IFERROR(__xludf.DUMMYFUNCTION("IMPORTRANGE(""https://docs.google.com/spreadsheets/d/1SX6NBoVAgQJ6U1MVXOaj8PK2l7WJ3RER9xtqwdhxkhw/edit#gid=346597447"",""ตราด!J571"")"),0)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IFERROR(__xludf.DUMMYFUNCTION("IMPORTRANGE(""https://docs.google.com/spreadsheets/d/1SX6NBoVAgQJ6U1MVXOaj8PK2l7WJ3RER9xtqwdhxkhw/edit#gid=346597447"",""ตราด!J572"")"),0)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272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3144690</v>
      </c>
      <c r="M8" s="23">
        <f t="shared" ca="1" si="0"/>
        <v>1834120.8599999999</v>
      </c>
      <c r="N8" s="23">
        <f t="shared" ca="1" si="0"/>
        <v>1849053.96</v>
      </c>
      <c r="O8" s="22">
        <f t="shared" ref="O8:O16" ca="1" si="1">IF(L8&gt;0,N8*100/L8,0)</f>
        <v>58.799244440628485</v>
      </c>
      <c r="P8" s="22">
        <f t="shared" ref="P8:P16" ca="1" si="2">IF(M8&gt;0,N8*100/M8,0)</f>
        <v>100.81418298682891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3144690</v>
      </c>
      <c r="M10" s="30">
        <f t="shared" ca="1" si="4"/>
        <v>1834120.8599999999</v>
      </c>
      <c r="N10" s="30">
        <f t="shared" ca="1" si="4"/>
        <v>1849053.96</v>
      </c>
      <c r="O10" s="29">
        <f t="shared" ca="1" si="1"/>
        <v>58.799244440628485</v>
      </c>
      <c r="P10" s="29">
        <f t="shared" ca="1" si="2"/>
        <v>100.81418298682891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3106890</v>
      </c>
      <c r="M12" s="38">
        <f t="shared" ca="1" si="6"/>
        <v>1796320.8599999999</v>
      </c>
      <c r="N12" s="38">
        <f t="shared" ca="1" si="6"/>
        <v>1811253.96</v>
      </c>
      <c r="O12" s="38">
        <f t="shared" ca="1" si="1"/>
        <v>58.297975145563569</v>
      </c>
      <c r="P12" s="38">
        <f t="shared" ca="1" si="2"/>
        <v>100.83131584855059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1288990</v>
      </c>
      <c r="M14" s="38">
        <f t="shared" si="8"/>
        <v>0</v>
      </c>
      <c r="N14" s="38">
        <f t="shared" ca="1" si="8"/>
        <v>447520</v>
      </c>
      <c r="O14" s="38">
        <f t="shared" ca="1" si="1"/>
        <v>34.718655691665568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2357880</v>
      </c>
      <c r="M18" s="23">
        <f t="shared" ca="1" si="11"/>
        <v>1834120.8599999999</v>
      </c>
      <c r="N18" s="23">
        <f t="shared" ca="1" si="11"/>
        <v>1401533.96</v>
      </c>
      <c r="O18" s="22">
        <f t="shared" ref="O18:O20" ca="1" si="12">IF(L18&gt;0,N18*100/L18,0)</f>
        <v>59.440427841959725</v>
      </c>
      <c r="P18" s="22">
        <f t="shared" ref="P18:P26" ca="1" si="13">IF(M18&gt;0,N18*100/M18,0)</f>
        <v>76.414482304072379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2357880</v>
      </c>
      <c r="M20" s="30">
        <f t="shared" ca="1" si="15"/>
        <v>1834120.8599999999</v>
      </c>
      <c r="N20" s="30">
        <f t="shared" ca="1" si="15"/>
        <v>1401533.96</v>
      </c>
      <c r="O20" s="29">
        <f t="shared" ca="1" si="12"/>
        <v>59.440427841959725</v>
      </c>
      <c r="P20" s="29">
        <f t="shared" ca="1" si="13"/>
        <v>76.414482304072379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2320080</v>
      </c>
      <c r="M22" s="41">
        <f t="shared" ca="1" si="18"/>
        <v>1796320.8599999999</v>
      </c>
      <c r="N22" s="38">
        <f t="shared" ca="1" si="18"/>
        <v>1363733.96</v>
      </c>
      <c r="O22" s="38">
        <f t="shared" ca="1" si="17"/>
        <v>58.779609323816423</v>
      </c>
      <c r="P22" s="38">
        <f t="shared" ca="1" si="13"/>
        <v>75.918171990721078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502180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786810</v>
      </c>
      <c r="M28" s="23">
        <f t="shared" si="23"/>
        <v>0</v>
      </c>
      <c r="N28" s="23">
        <f t="shared" ca="1" si="23"/>
        <v>447520</v>
      </c>
      <c r="O28" s="22">
        <f t="shared" ref="O28:O30" ca="1" si="24">IF(L28&gt;0,N28*100/L28,0)</f>
        <v>56.877772270306679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786810</v>
      </c>
      <c r="M30" s="30">
        <f t="shared" si="27"/>
        <v>0</v>
      </c>
      <c r="N30" s="30">
        <f t="shared" ca="1" si="27"/>
        <v>447520</v>
      </c>
      <c r="O30" s="29">
        <f t="shared" ca="1" si="24"/>
        <v>56.877772270306679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786810</v>
      </c>
      <c r="M32" s="38">
        <f t="shared" si="30"/>
        <v>0</v>
      </c>
      <c r="N32" s="38">
        <f t="shared" ca="1" si="30"/>
        <v>447520</v>
      </c>
      <c r="O32" s="38">
        <f t="shared" ca="1" si="29"/>
        <v>56.877772270306679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786810</v>
      </c>
      <c r="M34" s="38">
        <f t="shared" si="32"/>
        <v>0</v>
      </c>
      <c r="N34" s="38">
        <f t="shared" ca="1" si="32"/>
        <v>447520</v>
      </c>
      <c r="O34" s="38">
        <f t="shared" ca="1" si="29"/>
        <v>56.877772270306679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2357880</v>
      </c>
      <c r="M37" s="54">
        <f t="shared" ca="1" si="33"/>
        <v>1834120.8599999999</v>
      </c>
      <c r="N37" s="54">
        <f t="shared" ca="1" si="33"/>
        <v>1401533.96</v>
      </c>
      <c r="O37" s="55">
        <f t="shared" ca="1" si="29"/>
        <v>59.440427841959725</v>
      </c>
      <c r="P37" s="55">
        <f t="shared" ca="1" si="25"/>
        <v>76.414482304072379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644100</v>
      </c>
      <c r="M41" s="78">
        <f t="shared" ca="1" si="34"/>
        <v>530600</v>
      </c>
      <c r="N41" s="78">
        <f t="shared" ca="1" si="34"/>
        <v>412033.67</v>
      </c>
      <c r="O41" s="77">
        <f t="shared" ref="O41:O43" ca="1" si="35">IF(L41&gt;0,N41*100/L41,0)</f>
        <v>63.97045024064586</v>
      </c>
      <c r="P41" s="77">
        <f t="shared" ref="P41:P43" ca="1" si="36">IF(M41&gt;0,N41*100/M41,0)</f>
        <v>77.654291368262349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644100</v>
      </c>
      <c r="M43" s="78">
        <f t="shared" ca="1" si="38"/>
        <v>530600</v>
      </c>
      <c r="N43" s="78">
        <f t="shared" ca="1" si="38"/>
        <v>412033.67</v>
      </c>
      <c r="O43" s="77">
        <f t="shared" ca="1" si="35"/>
        <v>63.97045024064586</v>
      </c>
      <c r="P43" s="77">
        <f t="shared" ca="1" si="36"/>
        <v>77.654291368262349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644100</v>
      </c>
      <c r="M45" s="49">
        <f ca="1">IFERROR(__xludf.DUMMYFUNCTION("IMPORTRANGE(""https://docs.google.com/spreadsheets/d/1Yj_ptqi66GCucihVvJfMjLAmec39IyEx_6qawtMGysU/edit?usp=sharing"",""สบก!Q65"")"),530600)</f>
        <v>530600</v>
      </c>
      <c r="N45" s="49">
        <f ca="1">IFERROR(__xludf.DUMMYFUNCTION("IMPORTRANGE(""https://docs.google.com/spreadsheets/d/1Yj_ptqi66GCucihVvJfMjLAmec39IyEx_6qawtMGysU/edit?usp=sharing"",""สบก!R65"")"),412033.67)</f>
        <v>412033.67</v>
      </c>
      <c r="O45" s="38">
        <f ca="1">IF(L45&gt;0,N45*100/L45,0)</f>
        <v>63.97045024064586</v>
      </c>
      <c r="P45" s="38">
        <f ca="1">IF(M45&gt;0,N45*100/M45,0)</f>
        <v>77.654291368262349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IFERROR(__xludf.DUMMYFUNCTION("IMPORTRANGE(""https://docs.google.com/spreadsheets/d/1Yj_ptqi66GCucihVvJfMjLAmec39IyEx_6qawtMGysU/edit?usp=sharing"",""สบก!M65"")"),644100)</f>
        <v>644100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IFERROR(__xludf.DUMMYFUNCTION("IMPORTRANGE(""https://docs.google.com/spreadsheets/d/1Yj_ptqi66GCucihVvJfMjLAmec39IyEx_6qawtMGysU/edit?usp=sharing"",""สบก!O65"")"),0)</f>
        <v>0</v>
      </c>
      <c r="M49" s="49"/>
      <c r="N49" s="49">
        <f ca="1">IFERROR(__xludf.DUMMYFUNCTION("IMPORTRANGE(""https://docs.google.com/spreadsheets/d/1Yj_ptqi66GCucihVvJfMjLAmec39IyEx_6qawtMGysU/edit?usp=sharing"",""สบก!S65"")"),0)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339600</v>
      </c>
      <c r="M53" s="121">
        <f t="shared" ca="1" si="39"/>
        <v>276355.86</v>
      </c>
      <c r="N53" s="121">
        <f t="shared" ca="1" si="39"/>
        <v>186623</v>
      </c>
      <c r="O53" s="120">
        <f t="shared" ref="O53:O55" ca="1" si="40">IF(L53&gt;0,N53*100/L53,0)</f>
        <v>54.953769140164901</v>
      </c>
      <c r="P53" s="120">
        <f t="shared" ref="P53:P55" ca="1" si="41">IF(M53&gt;0,N53*100/M53,0)</f>
        <v>67.529959379185954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339600</v>
      </c>
      <c r="M55" s="121">
        <f t="shared" ca="1" si="43"/>
        <v>276355.86</v>
      </c>
      <c r="N55" s="121">
        <f t="shared" ca="1" si="43"/>
        <v>186623</v>
      </c>
      <c r="O55" s="120">
        <f t="shared" ca="1" si="40"/>
        <v>54.953769140164901</v>
      </c>
      <c r="P55" s="120">
        <f t="shared" ca="1" si="41"/>
        <v>67.529959379185954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339600</v>
      </c>
      <c r="M57" s="49">
        <f ca="1">IFERROR(__xludf.DUMMYFUNCTION("IMPORTRANGE(""https://docs.google.com/spreadsheets/d/1Yj_ptqi66GCucihVvJfMjLAmec39IyEx_6qawtMGysU/edit?usp=sharing"",""สบก!Z65"")"),276355.86)</f>
        <v>276355.86</v>
      </c>
      <c r="N57" s="49">
        <f ca="1">IFERROR(__xludf.DUMMYFUNCTION("IMPORTRANGE(""https://docs.google.com/spreadsheets/d/1Yj_ptqi66GCucihVvJfMjLAmec39IyEx_6qawtMGysU/edit?usp=sharing"",""สบก!AA65"")"),186623)</f>
        <v>186623</v>
      </c>
      <c r="O57" s="38">
        <f ca="1">IF(L57&gt;0,N57*100/L57,0)</f>
        <v>54.953769140164901</v>
      </c>
      <c r="P57" s="38">
        <f ca="1">IF(M57&gt;0,N57*100/M57,0)</f>
        <v>67.529959379185954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IFERROR(__xludf.DUMMYFUNCTION("IMPORTRANGE(""https://docs.google.com/spreadsheets/d/1Yj_ptqi66GCucihVvJfMjLAmec39IyEx_6qawtMGysU/edit?usp=sharing"",""สบก!V65"")"),339600)</f>
        <v>339600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7000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7000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IFERROR(__xludf.DUMMYFUNCTION("IMPORTRANGE(""https://docs.google.com/spreadsheets/d/1Yj_ptqi66GCucihVvJfMjLAmec39IyEx_6qawtMGysU/edit?usp=sharing"",""สบก!AI65"")"),7000)</f>
        <v>7000</v>
      </c>
      <c r="N70" s="169">
        <f ca="1">IFERROR(__xludf.DUMMYFUNCTION("IMPORTRANGE(""https://docs.google.com/spreadsheets/d/1Yj_ptqi66GCucihVvJfMjLAmec39IyEx_6qawtMGysU/edit?usp=sharing"",""สบก!AJ65"")"),0)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IFERROR(__xludf.DUMMYFUNCTION("IMPORTRANGE(""https://docs.google.com/spreadsheets/d/1Yj_ptqi66GCucihVvJfMjLAmec39IyEx_6qawtMGysU/edit?usp=sharing"",""สบก!AE65"")"),0)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IFERROR(__xludf.DUMMYFUNCTION("IMPORTRANGE(""https://docs.google.com/spreadsheets/d/1Yj_ptqi66GCucihVvJfMjLAmec39IyEx_6qawtMGysU/edit?usp=sharing"",""สบก!AF65"")"),0)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IFERROR(__xludf.DUMMYFUNCTION("IMPORTRANGE(""https://docs.google.com/spreadsheets/d/1SX6NBoVAgQJ6U1MVXOaj8PK2l7WJ3RER9xtqwdhxkhw/edit?usp=sharing"",""นครนายก!J16"")"),0)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IFERROR(__xludf.DUMMYFUNCTION("IMPORTRANGE(""https://docs.google.com/spreadsheets/d/1SX6NBoVAgQJ6U1MVXOaj8PK2l7WJ3RER9xtqwdhxkhw/edit?usp=sharing"",""นครนายก!J17"")"),0)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IFERROR(__xludf.DUMMYFUNCTION("IMPORTRANGE(""https://docs.google.com/spreadsheets/d/1SX6NBoVAgQJ6U1MVXOaj8PK2l7WJ3RER9xtqwdhxkhw/edit?usp=sharing"",""นครนายก!J18"")"),0)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IFERROR(__xludf.DUMMYFUNCTION("IMPORTRANGE(""https://docs.google.com/spreadsheets/d/1SX6NBoVAgQJ6U1MVXOaj8PK2l7WJ3RER9xtqwdhxkhw/edit?usp=sharing"",""นครนายก!J19"")"),0)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IFERROR(__xludf.DUMMYFUNCTION("IMPORTRANGE(""https://docs.google.com/spreadsheets/d/1SX6NBoVAgQJ6U1MVXOaj8PK2l7WJ3RER9xtqwdhxkhw/edit?usp=sharing"",""นครนายก!I20"")"),0)</f>
        <v>0</v>
      </c>
      <c r="J80" s="201">
        <f ca="1">IFERROR(__xludf.DUMMYFUNCTION("IMPORTRANGE(""https://docs.google.com/spreadsheets/d/1SX6NBoVAgQJ6U1MVXOaj8PK2l7WJ3RER9xtqwdhxkhw/edit?usp=sharing"",""นครนายก!J20"")"),0)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IFERROR(__xludf.DUMMYFUNCTION("IMPORTRANGE(""https://docs.google.com/spreadsheets/d/1SX6NBoVAgQJ6U1MVXOaj8PK2l7WJ3RER9xtqwdhxkhw/edit?usp=sharing"",""นครนายก!I21"")"),0)</f>
        <v>0</v>
      </c>
      <c r="J81" s="201">
        <f ca="1">IFERROR(__xludf.DUMMYFUNCTION("IMPORTRANGE(""https://docs.google.com/spreadsheets/d/1SX6NBoVAgQJ6U1MVXOaj8PK2l7WJ3RER9xtqwdhxkhw/edit?usp=sharing"",""นครนายก!J21"")"),0)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IFERROR(__xludf.DUMMYFUNCTION("IMPORTRANGE(""https://docs.google.com/spreadsheets/d/1SX6NBoVAgQJ6U1MVXOaj8PK2l7WJ3RER9xtqwdhxkhw/edit?usp=sharing"",""นครนายก!I22"")"),0)</f>
        <v>0</v>
      </c>
      <c r="J82" s="204">
        <f ca="1">IFERROR(__xludf.DUMMYFUNCTION("IMPORTRANGE(""https://docs.google.com/spreadsheets/d/1SX6NBoVAgQJ6U1MVXOaj8PK2l7WJ3RER9xtqwdhxkhw/edit?usp=sharing"",""นครนายก!J22"")"),0)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IFERROR(__xludf.DUMMYFUNCTION("IMPORTRANGE(""https://docs.google.com/spreadsheets/d/1SX6NBoVAgQJ6U1MVXOaj8PK2l7WJ3RER9xtqwdhxkhw/edit?usp=sharing"",""นครนายก!I23"")"),0)</f>
        <v>0</v>
      </c>
      <c r="J83" s="204">
        <f ca="1">IFERROR(__xludf.DUMMYFUNCTION("IMPORTRANGE(""https://docs.google.com/spreadsheets/d/1SX6NBoVAgQJ6U1MVXOaj8PK2l7WJ3RER9xtqwdhxkhw/edit?usp=sharing"",""นครนายก!J23"")"),0)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IFERROR(__xludf.DUMMYFUNCTION("IMPORTRANGE(""https://docs.google.com/spreadsheets/d/1SX6NBoVAgQJ6U1MVXOaj8PK2l7WJ3RER9xtqwdhxkhw/edit?usp=sharing"",""นครนายก!I24"")"),0)</f>
        <v>0</v>
      </c>
      <c r="J84" s="189">
        <f ca="1">IFERROR(__xludf.DUMMYFUNCTION("IMPORTRANGE(""https://docs.google.com/spreadsheets/d/1SX6NBoVAgQJ6U1MVXOaj8PK2l7WJ3RER9xtqwdhxkhw/edit?usp=sharing"",""นครนายก!J24"")"),0)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IFERROR(__xludf.DUMMYFUNCTION("IMPORTRANGE(""https://docs.google.com/spreadsheets/d/1SX6NBoVAgQJ6U1MVXOaj8PK2l7WJ3RER9xtqwdhxkhw/edit?usp=sharing"",""นครนายก!I25"")"),0)</f>
        <v>0</v>
      </c>
      <c r="J85" s="189">
        <f ca="1">IFERROR(__xludf.DUMMYFUNCTION("IMPORTRANGE(""https://docs.google.com/spreadsheets/d/1SX6NBoVAgQJ6U1MVXOaj8PK2l7WJ3RER9xtqwdhxkhw/edit?usp=sharing"",""นครนายก!J25"")"),0)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IFERROR(__xludf.DUMMYFUNCTION("IMPORTRANGE(""https://docs.google.com/spreadsheets/d/1SX6NBoVAgQJ6U1MVXOaj8PK2l7WJ3RER9xtqwdhxkhw/edit?usp=sharing"",""นครนายก!I26"")"),0)</f>
        <v>0</v>
      </c>
      <c r="J86" s="204">
        <f ca="1">IFERROR(__xludf.DUMMYFUNCTION("IMPORTRANGE(""https://docs.google.com/spreadsheets/d/1SX6NBoVAgQJ6U1MVXOaj8PK2l7WJ3RER9xtqwdhxkhw/edit?usp=sharing"",""นครนายก!J26"")"),0)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IFERROR(__xludf.DUMMYFUNCTION("IMPORTRANGE(""https://docs.google.com/spreadsheets/d/1SX6NBoVAgQJ6U1MVXOaj8PK2l7WJ3RER9xtqwdhxkhw/edit?usp=sharing"",""นครนายก!I27"")"),0)</f>
        <v>0</v>
      </c>
      <c r="J87" s="204">
        <f ca="1">IFERROR(__xludf.DUMMYFUNCTION("IMPORTRANGE(""https://docs.google.com/spreadsheets/d/1SX6NBoVAgQJ6U1MVXOaj8PK2l7WJ3RER9xtqwdhxkhw/edit?usp=sharing"",""นครนายก!J27"")"),0)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IFERROR(__xludf.DUMMYFUNCTION("IMPORTRANGE(""https://docs.google.com/spreadsheets/d/1SX6NBoVAgQJ6U1MVXOaj8PK2l7WJ3RER9xtqwdhxkhw/edit?usp=sharing"",""นครนายก!I28"")"),0)</f>
        <v>0</v>
      </c>
      <c r="J88" s="204">
        <f ca="1">IFERROR(__xludf.DUMMYFUNCTION("IMPORTRANGE(""https://docs.google.com/spreadsheets/d/1SX6NBoVAgQJ6U1MVXOaj8PK2l7WJ3RER9xtqwdhxkhw/edit?usp=sharing"",""นครนายก!J28"")"),0)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IFERROR(__xludf.DUMMYFUNCTION("IMPORTRANGE(""https://docs.google.com/spreadsheets/d/1SX6NBoVAgQJ6U1MVXOaj8PK2l7WJ3RER9xtqwdhxkhw/edit?usp=sharing"",""นครนายก!J29"")"),0)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IFERROR(__xludf.DUMMYFUNCTION("IMPORTRANGE(""https://docs.google.com/spreadsheets/d/1SX6NBoVAgQJ6U1MVXOaj8PK2l7WJ3RER9xtqwdhxkhw/edit?usp=sharing"",""นครนายก!J30"")"),0)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IFERROR(__xludf.DUMMYFUNCTION("IMPORTRANGE(""https://docs.google.com/spreadsheets/d/1Yj_ptqi66GCucihVvJfMjLAmec39IyEx_6qawtMGysU/edit?usp=sharing"",""สบก!AR65"")"),0)</f>
        <v>0</v>
      </c>
      <c r="N98" s="169">
        <f ca="1">IFERROR(__xludf.DUMMYFUNCTION("IMPORTRANGE(""https://docs.google.com/spreadsheets/d/1Yj_ptqi66GCucihVvJfMjLAmec39IyEx_6qawtMGysU/edit?usp=sharing"",""สบก!AS65"")"),0)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IFERROR(__xludf.DUMMYFUNCTION("IMPORTRANGE(""https://docs.google.com/spreadsheets/d/1Yj_ptqi66GCucihVvJfMjLAmec39IyEx_6qawtMGysU/edit?usp=sharing"",""สบก!AO65"")"),0)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IFERROR(__xludf.DUMMYFUNCTION("IMPORTRANGE(""https://docs.google.com/spreadsheets/d/1SX6NBoVAgQJ6U1MVXOaj8PK2l7WJ3RER9xtqwdhxkhw/edit?usp=sharing"",""นครนายก!J39"")"),0)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IFERROR(__xludf.DUMMYFUNCTION("IMPORTRANGE(""https://docs.google.com/spreadsheets/d/1SX6NBoVAgQJ6U1MVXOaj8PK2l7WJ3RER9xtqwdhxkhw/edit?usp=sharing"",""นครนายก!J40"")"),0)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IFERROR(__xludf.DUMMYFUNCTION("IMPORTRANGE(""https://docs.google.com/spreadsheets/d/1SX6NBoVAgQJ6U1MVXOaj8PK2l7WJ3RER9xtqwdhxkhw/edit?usp=sharing"",""นครนายก!J41"")"),0)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IFERROR(__xludf.DUMMYFUNCTION("IMPORTRANGE(""https://docs.google.com/spreadsheets/d/1SX6NBoVAgQJ6U1MVXOaj8PK2l7WJ3RER9xtqwdhxkhw/edit?usp=sharing"",""นครนายก!J42"")"),0)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IFERROR(__xludf.DUMMYFUNCTION("IMPORTRANGE(""https://docs.google.com/spreadsheets/d/1SX6NBoVAgQJ6U1MVXOaj8PK2l7WJ3RER9xtqwdhxkhw/edit?usp=sharing"",""นครนายก!I43"")"),0)</f>
        <v>0</v>
      </c>
      <c r="J108" s="204">
        <f ca="1">IFERROR(__xludf.DUMMYFUNCTION("IMPORTRANGE(""https://docs.google.com/spreadsheets/d/1SX6NBoVAgQJ6U1MVXOaj8PK2l7WJ3RER9xtqwdhxkhw/edit?usp=sharing"",""นครนายก!J43"")"),0)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IFERROR(__xludf.DUMMYFUNCTION("IMPORTRANGE(""https://docs.google.com/spreadsheets/d/1SX6NBoVAgQJ6U1MVXOaj8PK2l7WJ3RER9xtqwdhxkhw/edit?usp=sharing"",""นครนายก!I44"")"),0)</f>
        <v>0</v>
      </c>
      <c r="J109" s="204">
        <f ca="1">IFERROR(__xludf.DUMMYFUNCTION("IMPORTRANGE(""https://docs.google.com/spreadsheets/d/1SX6NBoVAgQJ6U1MVXOaj8PK2l7WJ3RER9xtqwdhxkhw/edit?usp=sharing"",""นครนายก!J44"")"),0)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IFERROR(__xludf.DUMMYFUNCTION("IMPORTRANGE(""https://docs.google.com/spreadsheets/d/1SX6NBoVAgQJ6U1MVXOaj8PK2l7WJ3RER9xtqwdhxkhw/edit?usp=sharing"",""นครนายก!I45"")"),0)</f>
        <v>0</v>
      </c>
      <c r="J110" s="204">
        <f ca="1">IFERROR(__xludf.DUMMYFUNCTION("IMPORTRANGE(""https://docs.google.com/spreadsheets/d/1SX6NBoVAgQJ6U1MVXOaj8PK2l7WJ3RER9xtqwdhxkhw/edit?usp=sharing"",""นครนายก!J45"")"),0)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IFERROR(__xludf.DUMMYFUNCTION("IMPORTRANGE(""https://docs.google.com/spreadsheets/d/1SX6NBoVAgQJ6U1MVXOaj8PK2l7WJ3RER9xtqwdhxkhw/edit?usp=sharing"",""นครนายก!I46"")"),0)</f>
        <v>0</v>
      </c>
      <c r="J111" s="204">
        <f ca="1">IFERROR(__xludf.DUMMYFUNCTION("IMPORTRANGE(""https://docs.google.com/spreadsheets/d/1SX6NBoVAgQJ6U1MVXOaj8PK2l7WJ3RER9xtqwdhxkhw/edit?usp=sharing"",""นครนายก!J46"")"),0)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IFERROR(__xludf.DUMMYFUNCTION("IMPORTRANGE(""https://docs.google.com/spreadsheets/d/1SX6NBoVAgQJ6U1MVXOaj8PK2l7WJ3RER9xtqwdhxkhw/edit?usp=sharing"",""นครนายก!I47"")"),0)</f>
        <v>0</v>
      </c>
      <c r="J112" s="204">
        <f ca="1">IFERROR(__xludf.DUMMYFUNCTION("IMPORTRANGE(""https://docs.google.com/spreadsheets/d/1SX6NBoVAgQJ6U1MVXOaj8PK2l7WJ3RER9xtqwdhxkhw/edit?usp=sharing"",""นครนายก!J47"")"),0)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IFERROR(__xludf.DUMMYFUNCTION("IMPORTRANGE(""https://docs.google.com/spreadsheets/d/1SX6NBoVAgQJ6U1MVXOaj8PK2l7WJ3RER9xtqwdhxkhw/edit?usp=sharing"",""นครนายก!I48"")"),0)</f>
        <v>0</v>
      </c>
      <c r="J113" s="204">
        <f ca="1">IFERROR(__xludf.DUMMYFUNCTION("IMPORTRANGE(""https://docs.google.com/spreadsheets/d/1SX6NBoVAgQJ6U1MVXOaj8PK2l7WJ3RER9xtqwdhxkhw/edit?usp=sharing"",""นครนายก!J48"")"),0)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IFERROR(__xludf.DUMMYFUNCTION("IMPORTRANGE(""https://docs.google.com/spreadsheets/d/1SX6NBoVAgQJ6U1MVXOaj8PK2l7WJ3RER9xtqwdhxkhw/edit?usp=sharing"",""นครนายก!J49"")"),0)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IFERROR(__xludf.DUMMYFUNCTION("IMPORTRANGE(""https://docs.google.com/spreadsheets/d/1SX6NBoVAgQJ6U1MVXOaj8PK2l7WJ3RER9xtqwdhxkhw/edit?usp=sharing"",""นครนายก!J50"")"),0)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IFERROR(__xludf.DUMMYFUNCTION("IMPORTRANGE(""https://docs.google.com/spreadsheets/d/1Yj_ptqi66GCucihVvJfMjLAmec39IyEx_6qawtMGysU/edit?usp=sharing"",""สบก!BA65"")"),0)</f>
        <v>0</v>
      </c>
      <c r="N122" s="169">
        <f ca="1">IFERROR(__xludf.DUMMYFUNCTION("IMPORTRANGE(""https://docs.google.com/spreadsheets/d/1Yj_ptqi66GCucihVvJfMjLAmec39IyEx_6qawtMGysU/edit?usp=sharing"",""สบก!BB65"")"),0)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IFERROR(__xludf.DUMMYFUNCTION("IMPORTRANGE(""https://docs.google.com/spreadsheets/d/1SX6NBoVAgQJ6U1MVXOaj8PK2l7WJ3RER9xtqwdhxkhw/edit?usp=sharing"",""นครนายก!J58"")"),0)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IFERROR(__xludf.DUMMYFUNCTION("IMPORTRANGE(""https://docs.google.com/spreadsheets/d/1SX6NBoVAgQJ6U1MVXOaj8PK2l7WJ3RER9xtqwdhxkhw/edit?usp=sharing"",""นครนายก!J59"")"),0)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IFERROR(__xludf.DUMMYFUNCTION("IMPORTRANGE(""https://docs.google.com/spreadsheets/d/1SX6NBoVAgQJ6U1MVXOaj8PK2l7WJ3RER9xtqwdhxkhw/edit?usp=sharing"",""นครนายก!J60"")"),0)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IFERROR(__xludf.DUMMYFUNCTION("IMPORTRANGE(""https://docs.google.com/spreadsheets/d/1SX6NBoVAgQJ6U1MVXOaj8PK2l7WJ3RER9xtqwdhxkhw/edit?usp=sharing"",""นครนายก!J61"")"),0)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IFERROR(__xludf.DUMMYFUNCTION("IMPORTRANGE(""https://docs.google.com/spreadsheets/d/1SX6NBoVAgQJ6U1MVXOaj8PK2l7WJ3RER9xtqwdhxkhw/edit?usp=sharing"",""นครนายก!I62"")"),0)</f>
        <v>0</v>
      </c>
      <c r="J132" s="204">
        <f ca="1">IFERROR(__xludf.DUMMYFUNCTION("IMPORTRANGE(""https://docs.google.com/spreadsheets/d/1SX6NBoVAgQJ6U1MVXOaj8PK2l7WJ3RER9xtqwdhxkhw/edit?usp=sharing"",""นครนายก!J62"")"),0)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IFERROR(__xludf.DUMMYFUNCTION("IMPORTRANGE(""https://docs.google.com/spreadsheets/d/1SX6NBoVAgQJ6U1MVXOaj8PK2l7WJ3RER9xtqwdhxkhw/edit?usp=sharing"",""นครนายก!I63"")"),0)</f>
        <v>0</v>
      </c>
      <c r="J133" s="204">
        <f ca="1">IFERROR(__xludf.DUMMYFUNCTION("IMPORTRANGE(""https://docs.google.com/spreadsheets/d/1SX6NBoVAgQJ6U1MVXOaj8PK2l7WJ3RER9xtqwdhxkhw/edit?usp=sharing"",""นครนายก!J63"")"),0)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IFERROR(__xludf.DUMMYFUNCTION("IMPORTRANGE(""https://docs.google.com/spreadsheets/d/1SX6NBoVAgQJ6U1MVXOaj8PK2l7WJ3RER9xtqwdhxkhw/edit?usp=sharing"",""นครนายก!J64"")"),0)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IFERROR(__xludf.DUMMYFUNCTION("IMPORTRANGE(""https://docs.google.com/spreadsheets/d/1SX6NBoVAgQJ6U1MVXOaj8PK2l7WJ3RER9xtqwdhxkhw/edit?usp=sharing"",""นครนายก!J65"")"),0)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IFERROR(__xludf.DUMMYFUNCTION("IMPORTRANGE(""https://docs.google.com/spreadsheets/d/1SX6NBoVAgQJ6U1MVXOaj8PK2l7WJ3RER9xtqwdhxkhw/edit?usp=sharing"",""นครนายก!I68"")"),20)</f>
        <v>20</v>
      </c>
      <c r="J138" s="268">
        <f ca="1">IFERROR(__xludf.DUMMYFUNCTION("IMPORTRANGE(""https://docs.google.com/spreadsheets/d/1SX6NBoVAgQJ6U1MVXOaj8PK2l7WJ3RER9xtqwdhxkhw/edit?usp=sharing"",""นครนายก!J68"")"),20)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569800</v>
      </c>
      <c r="M140" s="152">
        <f t="shared" ca="1" si="64"/>
        <v>429125</v>
      </c>
      <c r="N140" s="152">
        <f t="shared" ca="1" si="64"/>
        <v>300609.28999999998</v>
      </c>
      <c r="O140" s="151">
        <f t="shared" ref="O140:O142" ca="1" si="65">IF(L140&gt;0,N140*100/L140,0)</f>
        <v>52.756983151983142</v>
      </c>
      <c r="P140" s="151">
        <f t="shared" ref="P140:P142" ca="1" si="66">IF(M140&gt;0,N140*100/M140,0)</f>
        <v>70.051684241188454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569800</v>
      </c>
      <c r="M142" s="157">
        <f t="shared" ca="1" si="68"/>
        <v>429125</v>
      </c>
      <c r="N142" s="157">
        <f t="shared" ca="1" si="68"/>
        <v>300609.28999999998</v>
      </c>
      <c r="O142" s="156">
        <f t="shared" ca="1" si="65"/>
        <v>52.756983151983142</v>
      </c>
      <c r="P142" s="156">
        <f t="shared" ca="1" si="66"/>
        <v>70.051684241188454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569800</v>
      </c>
      <c r="M144" s="168">
        <f ca="1">IFERROR(__xludf.DUMMYFUNCTION("IMPORTRANGE(""https://docs.google.com/spreadsheets/d/1Yj_ptqi66GCucihVvJfMjLAmec39IyEx_6qawtMGysU/edit?usp=sharing"",""สบก!BJ65"")"),429125)</f>
        <v>429125</v>
      </c>
      <c r="N144" s="169">
        <f ca="1">IFERROR(__xludf.DUMMYFUNCTION("IMPORTRANGE(""https://docs.google.com/spreadsheets/d/1Yj_ptqi66GCucihVvJfMjLAmec39IyEx_6qawtMGysU/edit?usp=sharing"",""สบก!BK65"")"),300609.29)</f>
        <v>300609.28999999998</v>
      </c>
      <c r="O144" s="169">
        <f ca="1">IF(L144&gt;0,N144*100/L144,0)</f>
        <v>52.756983151983142</v>
      </c>
      <c r="P144" s="169">
        <f ca="1">IF(M144&gt;0,N144*100/M144,0)</f>
        <v>70.051684241188454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IFERROR(__xludf.DUMMYFUNCTION("IMPORTRANGE(""https://docs.google.com/spreadsheets/d/1Yj_ptqi66GCucihVvJfMjLAmec39IyEx_6qawtMGysU/edit?usp=sharing"",""สบก!BF65"")"),305000)</f>
        <v>305000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IFERROR(__xludf.DUMMYFUNCTION("IMPORTRANGE(""https://docs.google.com/spreadsheets/d/1Yj_ptqi66GCucihVvJfMjLAmec39IyEx_6qawtMGysU/edit?usp=sharing"",""สบก!BG65"")"),264800)</f>
        <v>264800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IFERROR(__xludf.DUMMYFUNCTION("IMPORTRANGE(""https://docs.google.com/spreadsheets/d/1SX6NBoVAgQJ6U1MVXOaj8PK2l7WJ3RER9xtqwdhxkhw/edit?usp=sharing"",""นครนายก!I74"")"),4)</f>
        <v>4</v>
      </c>
      <c r="J149" s="276">
        <f ca="1">IFERROR(__xludf.DUMMYFUNCTION("IMPORTRANGE(""https://docs.google.com/spreadsheets/d/1SX6NBoVAgQJ6U1MVXOaj8PK2l7WJ3RER9xtqwdhxkhw/edit?usp=sharing"",""นครนายก!J74"")"),2)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IFERROR(__xludf.DUMMYFUNCTION("IMPORTRANGE(""https://docs.google.com/spreadsheets/d/1SX6NBoVAgQJ6U1MVXOaj8PK2l7WJ3RER9xtqwdhxkhw/edit?usp=sharing"",""นครนายก!J79"")"),0)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IFERROR(__xludf.DUMMYFUNCTION("IMPORTRANGE(""https://docs.google.com/spreadsheets/d/1SX6NBoVAgQJ6U1MVXOaj8PK2l7WJ3RER9xtqwdhxkhw/edit?usp=sharing"",""นครนายก!J80"")"),1)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IFERROR(__xludf.DUMMYFUNCTION("IMPORTRANGE(""https://docs.google.com/spreadsheets/d/1SX6NBoVAgQJ6U1MVXOaj8PK2l7WJ3RER9xtqwdhxkhw/edit?usp=sharing"",""นครนายก!J81"")"),1)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IFERROR(__xludf.DUMMYFUNCTION("IMPORTRANGE(""https://docs.google.com/spreadsheets/d/1SX6NBoVAgQJ6U1MVXOaj8PK2l7WJ3RER9xtqwdhxkhw/edit?usp=sharing"",""นครนายก!J82"")"),1)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IFERROR(__xludf.DUMMYFUNCTION("IMPORTRANGE(""https://docs.google.com/spreadsheets/d/1SX6NBoVAgQJ6U1MVXOaj8PK2l7WJ3RER9xtqwdhxkhw/edit?usp=sharing"",""นครนายก!I83"")"),4)</f>
        <v>4</v>
      </c>
      <c r="J158" s="189">
        <f ca="1">IFERROR(__xludf.DUMMYFUNCTION("IMPORTRANGE(""https://docs.google.com/spreadsheets/d/1SX6NBoVAgQJ6U1MVXOaj8PK2l7WJ3RER9xtqwdhxkhw/edit?usp=sharing"",""นครนายก!J83"")"),2)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IFERROR(__xludf.DUMMYFUNCTION("IMPORTRANGE(""https://docs.google.com/spreadsheets/d/1SX6NBoVAgQJ6U1MVXOaj8PK2l7WJ3RER9xtqwdhxkhw/edit?usp=sharing"",""นครนายก!J84"")"),134)</f>
        <v>134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IFERROR(__xludf.DUMMYFUNCTION("IMPORTRANGE(""https://docs.google.com/spreadsheets/d/1SX6NBoVAgQJ6U1MVXOaj8PK2l7WJ3RER9xtqwdhxkhw/edit?usp=sharing"",""นครนายก!J85"")"),134)</f>
        <v>134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IFERROR(__xludf.DUMMYFUNCTION("IMPORTRANGE(""https://docs.google.com/spreadsheets/d/1SX6NBoVAgQJ6U1MVXOaj8PK2l7WJ3RER9xtqwdhxkhw/edit?usp=sharing"",""นครนายก!J86"")"),0)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IFERROR(__xludf.DUMMYFUNCTION("IMPORTRANGE(""https://docs.google.com/spreadsheets/d/1SX6NBoVAgQJ6U1MVXOaj8PK2l7WJ3RER9xtqwdhxkhw/edit?usp=sharing"",""นครนายก!J87"")"),0)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IFERROR(__xludf.DUMMYFUNCTION("IMPORTRANGE(""https://docs.google.com/spreadsheets/d/1SX6NBoVAgQJ6U1MVXOaj8PK2l7WJ3RER9xtqwdhxkhw/edit?usp=sharing"",""นครนายก!J88"")"),0)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IFERROR(__xludf.DUMMYFUNCTION("IMPORTRANGE(""https://docs.google.com/spreadsheets/d/1SX6NBoVAgQJ6U1MVXOaj8PK2l7WJ3RER9xtqwdhxkhw/edit?usp=sharing"",""นครนายก!I89"")"),3)</f>
        <v>3</v>
      </c>
      <c r="J164" s="285">
        <f ca="1">IFERROR(__xludf.DUMMYFUNCTION("IMPORTRANGE(""https://docs.google.com/spreadsheets/d/1SX6NBoVAgQJ6U1MVXOaj8PK2l7WJ3RER9xtqwdhxkhw/edit?usp=sharing"",""นครนายก!J89"")"),3)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IFERROR(__xludf.DUMMYFUNCTION("IMPORTRANGE(""https://docs.google.com/spreadsheets/d/1SX6NBoVAgQJ6U1MVXOaj8PK2l7WJ3RER9xtqwdhxkhw/edit?usp=sharing"",""นครนายก!J94"")"),0)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IFERROR(__xludf.DUMMYFUNCTION("IMPORTRANGE(""https://docs.google.com/spreadsheets/d/1SX6NBoVAgQJ6U1MVXOaj8PK2l7WJ3RER9xtqwdhxkhw/edit?usp=sharing"",""นครนายก!J95"")"),1)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IFERROR(__xludf.DUMMYFUNCTION("IMPORTRANGE(""https://docs.google.com/spreadsheets/d/1SX6NBoVAgQJ6U1MVXOaj8PK2l7WJ3RER9xtqwdhxkhw/edit?usp=sharing"",""นครนายก!J96"")"),1)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IFERROR(__xludf.DUMMYFUNCTION("IMPORTRANGE(""https://docs.google.com/spreadsheets/d/1SX6NBoVAgQJ6U1MVXOaj8PK2l7WJ3RER9xtqwdhxkhw/edit?usp=sharing"",""นครนายก!J97"")"),1)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IFERROR(__xludf.DUMMYFUNCTION("IMPORTRANGE(""https://docs.google.com/spreadsheets/d/1SX6NBoVAgQJ6U1MVXOaj8PK2l7WJ3RER9xtqwdhxkhw/edit?usp=sharing"",""นครนายก!I98"")"),3)</f>
        <v>3</v>
      </c>
      <c r="J173" s="189">
        <f ca="1">IFERROR(__xludf.DUMMYFUNCTION("IMPORTRANGE(""https://docs.google.com/spreadsheets/d/1SX6NBoVAgQJ6U1MVXOaj8PK2l7WJ3RER9xtqwdhxkhw/edit?usp=sharing"",""นครนายก!J98"")"),3)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IFERROR(__xludf.DUMMYFUNCTION("IMPORTRANGE(""https://docs.google.com/spreadsheets/d/1SX6NBoVAgQJ6U1MVXOaj8PK2l7WJ3RER9xtqwdhxkhw/edit?usp=sharing"",""นครนายก!J99"")"),1)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IFERROR(__xludf.DUMMYFUNCTION("IMPORTRANGE(""https://docs.google.com/spreadsheets/d/1SX6NBoVAgQJ6U1MVXOaj8PK2l7WJ3RER9xtqwdhxkhw/edit?usp=sharing"",""นครนายก!J100"")"),0)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IFERROR(__xludf.DUMMYFUNCTION("IMPORTRANGE(""https://docs.google.com/spreadsheets/d/1SX6NBoVAgQJ6U1MVXOaj8PK2l7WJ3RER9xtqwdhxkhw/edit?usp=sharing"",""นครนายก!I101"")"),0)</f>
        <v>0</v>
      </c>
      <c r="J176" s="285">
        <f ca="1">IFERROR(__xludf.DUMMYFUNCTION("IMPORTRANGE(""https://docs.google.com/spreadsheets/d/1SX6NBoVAgQJ6U1MVXOaj8PK2l7WJ3RER9xtqwdhxkhw/edit?usp=sharing"",""นครนายก!J101"")"),0)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IFERROR(__xludf.DUMMYFUNCTION("IMPORTRANGE(""https://docs.google.com/spreadsheets/d/1SX6NBoVAgQJ6U1MVXOaj8PK2l7WJ3RER9xtqwdhxkhw/edit?usp=sharing"",""นครนายก!J106"")"),0)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IFERROR(__xludf.DUMMYFUNCTION("IMPORTRANGE(""https://docs.google.com/spreadsheets/d/1SX6NBoVAgQJ6U1MVXOaj8PK2l7WJ3RER9xtqwdhxkhw/edit?usp=sharing"",""นครนายก!J107"")"),0)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IFERROR(__xludf.DUMMYFUNCTION("IMPORTRANGE(""https://docs.google.com/spreadsheets/d/1SX6NBoVAgQJ6U1MVXOaj8PK2l7WJ3RER9xtqwdhxkhw/edit?usp=sharing"",""นครนายก!J108"")"),0)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IFERROR(__xludf.DUMMYFUNCTION("IMPORTRANGE(""https://docs.google.com/spreadsheets/d/1SX6NBoVAgQJ6U1MVXOaj8PK2l7WJ3RER9xtqwdhxkhw/edit?usp=sharing"",""นครนายก!J109"")"),0)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IFERROR(__xludf.DUMMYFUNCTION("IMPORTRANGE(""https://docs.google.com/spreadsheets/d/1SX6NBoVAgQJ6U1MVXOaj8PK2l7WJ3RER9xtqwdhxkhw/edit?usp=sharing"",""นครนายก!I110"")"),0)</f>
        <v>0</v>
      </c>
      <c r="J185" s="204">
        <f ca="1">IFERROR(__xludf.DUMMYFUNCTION("IMPORTRANGE(""https://docs.google.com/spreadsheets/d/1SX6NBoVAgQJ6U1MVXOaj8PK2l7WJ3RER9xtqwdhxkhw/edit?usp=sharing"",""นครนายก!J110"")"),0)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IFERROR(__xludf.DUMMYFUNCTION("IMPORTRANGE(""https://docs.google.com/spreadsheets/d/1SX6NBoVAgQJ6U1MVXOaj8PK2l7WJ3RER9xtqwdhxkhw/edit?usp=sharing"",""นครนายก!I111"")"),0)</f>
        <v>0</v>
      </c>
      <c r="J186" s="204">
        <f ca="1">IFERROR(__xludf.DUMMYFUNCTION("IMPORTRANGE(""https://docs.google.com/spreadsheets/d/1SX6NBoVAgQJ6U1MVXOaj8PK2l7WJ3RER9xtqwdhxkhw/edit?usp=sharing"",""นครนายก!J111"")"),0)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IFERROR(__xludf.DUMMYFUNCTION("IMPORTRANGE(""https://docs.google.com/spreadsheets/d/1SX6NBoVAgQJ6U1MVXOaj8PK2l7WJ3RER9xtqwdhxkhw/edit?usp=sharing"",""นครนายก!J112"")"),0)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IFERROR(__xludf.DUMMYFUNCTION("IMPORTRANGE(""https://docs.google.com/spreadsheets/d/1SX6NBoVAgQJ6U1MVXOaj8PK2l7WJ3RER9xtqwdhxkhw/edit?usp=sharing"",""นครนายก!J113"")"),0)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IFERROR(__xludf.DUMMYFUNCTION("IMPORTRANGE(""https://docs.google.com/spreadsheets/d/1SX6NBoVAgQJ6U1MVXOaj8PK2l7WJ3RER9xtqwdhxkhw/edit?usp=sharing"",""นครนายก!I114"")"),30000)</f>
        <v>30000</v>
      </c>
      <c r="J189" s="285">
        <f ca="1">IFERROR(__xludf.DUMMYFUNCTION("IMPORTRANGE(""https://docs.google.com/spreadsheets/d/1SX6NBoVAgQJ6U1MVXOaj8PK2l7WJ3RER9xtqwdhxkhw/edit?usp=sharing"",""นครนายก!J114"")"),0)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IFERROR(__xludf.DUMMYFUNCTION("IMPORTRANGE(""https://docs.google.com/spreadsheets/d/1SX6NBoVAgQJ6U1MVXOaj8PK2l7WJ3RER9xtqwdhxkhw/edit?usp=sharing"",""นครนายก!J119"")"),0)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IFERROR(__xludf.DUMMYFUNCTION("IMPORTRANGE(""https://docs.google.com/spreadsheets/d/1SX6NBoVAgQJ6U1MVXOaj8PK2l7WJ3RER9xtqwdhxkhw/edit?usp=sharing"",""นครนายก!J120"")"),1)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IFERROR(__xludf.DUMMYFUNCTION("IMPORTRANGE(""https://docs.google.com/spreadsheets/d/1SX6NBoVAgQJ6U1MVXOaj8PK2l7WJ3RER9xtqwdhxkhw/edit?usp=sharing"",""นครนายก!J121"")"),0)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IFERROR(__xludf.DUMMYFUNCTION("IMPORTRANGE(""https://docs.google.com/spreadsheets/d/1SX6NBoVAgQJ6U1MVXOaj8PK2l7WJ3RER9xtqwdhxkhw/edit?usp=sharing"",""นครนายก!J122"")"),0)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IFERROR(__xludf.DUMMYFUNCTION("IMPORTRANGE(""https://docs.google.com/spreadsheets/d/1SX6NBoVAgQJ6U1MVXOaj8PK2l7WJ3RER9xtqwdhxkhw/edit?usp=sharing"",""นครนายก!I124"")"),30000)</f>
        <v>30000</v>
      </c>
      <c r="J199" s="189">
        <f ca="1">IFERROR(__xludf.DUMMYFUNCTION("IMPORTRANGE(""https://docs.google.com/spreadsheets/d/1SX6NBoVAgQJ6U1MVXOaj8PK2l7WJ3RER9xtqwdhxkhw/edit?usp=sharing"",""นครนายก!J124"")"),0)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IFERROR(__xludf.DUMMYFUNCTION("IMPORTRANGE(""https://docs.google.com/spreadsheets/d/1SX6NBoVAgQJ6U1MVXOaj8PK2l7WJ3RER9xtqwdhxkhw/edit?usp=sharing"",""นครนายก!I125"")"),30000)</f>
        <v>30000</v>
      </c>
      <c r="J200" s="189">
        <f ca="1">IFERROR(__xludf.DUMMYFUNCTION("IMPORTRANGE(""https://docs.google.com/spreadsheets/d/1SX6NBoVAgQJ6U1MVXOaj8PK2l7WJ3RER9xtqwdhxkhw/edit?usp=sharing"",""นครนายก!J125"")"),0)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IFERROR(__xludf.DUMMYFUNCTION("IMPORTRANGE(""https://docs.google.com/spreadsheets/d/1SX6NBoVAgQJ6U1MVXOaj8PK2l7WJ3RER9xtqwdhxkhw/edit?usp=sharing"",""นครนายก!I126"")"),0)</f>
        <v>0</v>
      </c>
      <c r="J201" s="189">
        <f ca="1">IFERROR(__xludf.DUMMYFUNCTION("IMPORTRANGE(""https://docs.google.com/spreadsheets/d/1SX6NBoVAgQJ6U1MVXOaj8PK2l7WJ3RER9xtqwdhxkhw/edit?usp=sharing"",""นครนายก!J126"")"),0)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IFERROR(__xludf.DUMMYFUNCTION("IMPORTRANGE(""https://docs.google.com/spreadsheets/d/1SX6NBoVAgQJ6U1MVXOaj8PK2l7WJ3RER9xtqwdhxkhw/edit?usp=sharing"",""นครนายก!J127"")"),0)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IFERROR(__xludf.DUMMYFUNCTION("IMPORTRANGE(""https://docs.google.com/spreadsheets/d/1SX6NBoVAgQJ6U1MVXOaj8PK2l7WJ3RER9xtqwdhxkhw/edit?usp=sharing"",""นครนายก!J128"")"),0)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IFERROR(__xludf.DUMMYFUNCTION("IMPORTRANGE(""https://docs.google.com/spreadsheets/d/1SX6NBoVAgQJ6U1MVXOaj8PK2l7WJ3RER9xtqwdhxkhw/edit?usp=sharing"",""นครนายก!I129"")"),20)</f>
        <v>20</v>
      </c>
      <c r="J204" s="285">
        <f ca="1">IFERROR(__xludf.DUMMYFUNCTION("IMPORTRANGE(""https://docs.google.com/spreadsheets/d/1SX6NBoVAgQJ6U1MVXOaj8PK2l7WJ3RER9xtqwdhxkhw/edit?usp=sharing"",""นครนายก!J129"")"),20)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IFERROR(__xludf.DUMMYFUNCTION("IMPORTRANGE(""https://docs.google.com/spreadsheets/d/1SX6NBoVAgQJ6U1MVXOaj8PK2l7WJ3RER9xtqwdhxkhw/edit?usp=sharing"",""นครนายก!J134"")"),0)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IFERROR(__xludf.DUMMYFUNCTION("IMPORTRANGE(""https://docs.google.com/spreadsheets/d/1SX6NBoVAgQJ6U1MVXOaj8PK2l7WJ3RER9xtqwdhxkhw/edit?usp=sharing"",""นครนายก!J135"")"),1)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IFERROR(__xludf.DUMMYFUNCTION("IMPORTRANGE(""https://docs.google.com/spreadsheets/d/1SX6NBoVAgQJ6U1MVXOaj8PK2l7WJ3RER9xtqwdhxkhw/edit?usp=sharing"",""นครนายก!J136"")"),1)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IFERROR(__xludf.DUMMYFUNCTION("IMPORTRANGE(""https://docs.google.com/spreadsheets/d/1SX6NBoVAgQJ6U1MVXOaj8PK2l7WJ3RER9xtqwdhxkhw/edit?usp=sharing"",""นครนายก!J137"")"),1)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IFERROR(__xludf.DUMMYFUNCTION("IMPORTRANGE(""https://docs.google.com/spreadsheets/d/1SX6NBoVAgQJ6U1MVXOaj8PK2l7WJ3RER9xtqwdhxkhw/edit?usp=sharing"",""นครนายก!I138"")"),20)</f>
        <v>20</v>
      </c>
      <c r="J213" s="204">
        <f ca="1">IFERROR(__xludf.DUMMYFUNCTION("IMPORTRANGE(""https://docs.google.com/spreadsheets/d/1SX6NBoVAgQJ6U1MVXOaj8PK2l7WJ3RER9xtqwdhxkhw/edit?usp=sharing"",""นครนายก!J138"")"),20)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IFERROR(__xludf.DUMMYFUNCTION("IMPORTRANGE(""https://docs.google.com/spreadsheets/d/1SX6NBoVAgQJ6U1MVXOaj8PK2l7WJ3RER9xtqwdhxkhw/edit?usp=sharing"",""นครนายก!I140"")"),0)</f>
        <v>0</v>
      </c>
      <c r="J215" s="204">
        <f ca="1">IFERROR(__xludf.DUMMYFUNCTION("IMPORTRANGE(""https://docs.google.com/spreadsheets/d/1SX6NBoVAgQJ6U1MVXOaj8PK2l7WJ3RER9xtqwdhxkhw/edit?usp=sharing"",""นครนายก!J140"")"),0)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IFERROR(__xludf.DUMMYFUNCTION("IMPORTRANGE(""https://docs.google.com/spreadsheets/d/1SX6NBoVAgQJ6U1MVXOaj8PK2l7WJ3RER9xtqwdhxkhw/edit?usp=sharing"",""นครนายก!I141"")"),1)</f>
        <v>1</v>
      </c>
      <c r="J216" s="204">
        <f ca="1">IFERROR(__xludf.DUMMYFUNCTION("IMPORTRANGE(""https://docs.google.com/spreadsheets/d/1SX6NBoVAgQJ6U1MVXOaj8PK2l7WJ3RER9xtqwdhxkhw/edit?usp=sharing"",""นครนายก!J141"")"),0)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IFERROR(__xludf.DUMMYFUNCTION("IMPORTRANGE(""https://docs.google.com/spreadsheets/d/1SX6NBoVAgQJ6U1MVXOaj8PK2l7WJ3RER9xtqwdhxkhw/edit?usp=sharing"",""นครนายก!J142"")"),0)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IFERROR(__xludf.DUMMYFUNCTION("IMPORTRANGE(""https://docs.google.com/spreadsheets/d/1SX6NBoVAgQJ6U1MVXOaj8PK2l7WJ3RER9xtqwdhxkhw/edit?usp=sharing"",""นครนายก!J143"")"),0)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IFERROR(__xludf.DUMMYFUNCTION("IMPORTRANGE(""https://docs.google.com/spreadsheets/d/1SX6NBoVAgQJ6U1MVXOaj8PK2l7WJ3RER9xtqwdhxkhw/edit?usp=sharing"",""นครนายก!I144"")"),0)</f>
        <v>0</v>
      </c>
      <c r="J219" s="268">
        <f ca="1">IFERROR(__xludf.DUMMYFUNCTION("IMPORTRANGE(""https://docs.google.com/spreadsheets/d/1SX6NBoVAgQJ6U1MVXOaj8PK2l7WJ3RER9xtqwdhxkhw/edit?usp=sharing"",""นครนายก!J144"")"),0)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IFERROR(__xludf.DUMMYFUNCTION("IMPORTRANGE(""https://docs.google.com/spreadsheets/d/1Yj_ptqi66GCucihVvJfMjLAmec39IyEx_6qawtMGysU/edit?usp=sharing"",""สบก!BS65"")"),0)</f>
        <v>0</v>
      </c>
      <c r="N224" s="169">
        <f ca="1">IFERROR(__xludf.DUMMYFUNCTION("IMPORTRANGE(""https://docs.google.com/spreadsheets/d/1Yj_ptqi66GCucihVvJfMjLAmec39IyEx_6qawtMGysU/edit?usp=sharing"",""สบก!BT65"")"),0)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IFERROR(__xludf.DUMMYFUNCTION("IMPORTRANGE(""https://docs.google.com/spreadsheets/d/1Yj_ptqi66GCucihVvJfMjLAmec39IyEx_6qawtMGysU/edit?usp=sharing"",""สบก!BP65"")"),0)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IFERROR(__xludf.DUMMYFUNCTION("IMPORTRANGE(""https://docs.google.com/spreadsheets/d/1SX6NBoVAgQJ6U1MVXOaj8PK2l7WJ3RER9xtqwdhxkhw/edit?usp=sharing"",""นครนายก!I149"")"),0)</f>
        <v>0</v>
      </c>
      <c r="J229" s="268">
        <f ca="1">IFERROR(__xludf.DUMMYFUNCTION("IMPORTRANGE(""https://docs.google.com/spreadsheets/d/1SX6NBoVAgQJ6U1MVXOaj8PK2l7WJ3RER9xtqwdhxkhw/edit?usp=sharing"",""นครนายก!J149"")"),0)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IFERROR(__xludf.DUMMYFUNCTION("IMPORTRANGE(""https://docs.google.com/spreadsheets/d/1SX6NBoVAgQJ6U1MVXOaj8PK2l7WJ3RER9xtqwdhxkhw/edit?usp=sharing"",""นครนายก!J151"")"),0)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IFERROR(__xludf.DUMMYFUNCTION("IMPORTRANGE(""https://docs.google.com/spreadsheets/d/1SX6NBoVAgQJ6U1MVXOaj8PK2l7WJ3RER9xtqwdhxkhw/edit?usp=sharing"",""นครนายก!J152"")"),0)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IFERROR(__xludf.DUMMYFUNCTION("IMPORTRANGE(""https://docs.google.com/spreadsheets/d/1SX6NBoVAgQJ6U1MVXOaj8PK2l7WJ3RER9xtqwdhxkhw/edit?usp=sharing"",""นครนายก!J153"")"),0)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IFERROR(__xludf.DUMMYFUNCTION("IMPORTRANGE(""https://docs.google.com/spreadsheets/d/1SX6NBoVAgQJ6U1MVXOaj8PK2l7WJ3RER9xtqwdhxkhw/edit?usp=sharing"",""นครนายก!J154"")"),0)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IFERROR(__xludf.DUMMYFUNCTION("IMPORTRANGE(""https://docs.google.com/spreadsheets/d/1SX6NBoVAgQJ6U1MVXOaj8PK2l7WJ3RER9xtqwdhxkhw/edit?usp=sharing"",""นครนายก!I155"")"),0)</f>
        <v>0</v>
      </c>
      <c r="J235" s="189">
        <f ca="1">IFERROR(__xludf.DUMMYFUNCTION("IMPORTRANGE(""https://docs.google.com/spreadsheets/d/1SX6NBoVAgQJ6U1MVXOaj8PK2l7WJ3RER9xtqwdhxkhw/edit?usp=sharing"",""นครนายก!J155"")"),0)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IFERROR(__xludf.DUMMYFUNCTION("IMPORTRANGE(""https://docs.google.com/spreadsheets/d/1SX6NBoVAgQJ6U1MVXOaj8PK2l7WJ3RER9xtqwdhxkhw/edit?usp=sharing"",""นครนายก!J156"")"),0)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IFERROR(__xludf.DUMMYFUNCTION("IMPORTRANGE(""https://docs.google.com/spreadsheets/d/1SX6NBoVAgQJ6U1MVXOaj8PK2l7WJ3RER9xtqwdhxkhw/edit?usp=sharing"",""นครนายก!J157"")"),0)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IFERROR(__xludf.DUMMYFUNCTION("IMPORTRANGE(""https://docs.google.com/spreadsheets/d/1SX6NBoVAgQJ6U1MVXOaj8PK2l7WJ3RER9xtqwdhxkhw/edit?usp=sharing"",""นครนายก!I158"")"),0)</f>
        <v>0</v>
      </c>
      <c r="J238" s="268">
        <f ca="1">IFERROR(__xludf.DUMMYFUNCTION("IMPORTRANGE(""https://docs.google.com/spreadsheets/d/1SX6NBoVAgQJ6U1MVXOaj8PK2l7WJ3RER9xtqwdhxkhw/edit?usp=sharing"",""นครนายก!J158"")"),0)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IFERROR(__xludf.DUMMYFUNCTION("IMPORTRANGE(""https://docs.google.com/spreadsheets/d/1SX6NBoVAgQJ6U1MVXOaj8PK2l7WJ3RER9xtqwdhxkhw/edit?usp=sharing"",""นครนายก!J159"")"),"")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IFERROR(__xludf.DUMMYFUNCTION("IMPORTRANGE(""https://docs.google.com/spreadsheets/d/1SX6NBoVAgQJ6U1MVXOaj8PK2l7WJ3RER9xtqwdhxkhw/edit?usp=sharing"",""นครนายก!J161"")"),0)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IFERROR(__xludf.DUMMYFUNCTION("IMPORTRANGE(""https://docs.google.com/spreadsheets/d/1SX6NBoVAgQJ6U1MVXOaj8PK2l7WJ3RER9xtqwdhxkhw/edit?usp=sharing"",""นครนายก!J162"")"),0)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IFERROR(__xludf.DUMMYFUNCTION("IMPORTRANGE(""https://docs.google.com/spreadsheets/d/1SX6NBoVAgQJ6U1MVXOaj8PK2l7WJ3RER9xtqwdhxkhw/edit?usp=sharing"",""นครนายก!J163"")"),0)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IFERROR(__xludf.DUMMYFUNCTION("IMPORTRANGE(""https://docs.google.com/spreadsheets/d/1SX6NBoVAgQJ6U1MVXOaj8PK2l7WJ3RER9xtqwdhxkhw/edit?usp=sharing"",""นครนายก!I164"")"),0)</f>
        <v>0</v>
      </c>
      <c r="J244" s="188">
        <f ca="1">IFERROR(__xludf.DUMMYFUNCTION("IMPORTRANGE(""https://docs.google.com/spreadsheets/d/1SX6NBoVAgQJ6U1MVXOaj8PK2l7WJ3RER9xtqwdhxkhw/edit?usp=sharing"",""นครนายก!J164"")"),0)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IFERROR(__xludf.DUMMYFUNCTION("IMPORTRANGE(""https://docs.google.com/spreadsheets/d/1SX6NBoVAgQJ6U1MVXOaj8PK2l7WJ3RER9xtqwdhxkhw/edit?usp=sharing"",""นครนายก!J165"")"),0)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IFERROR(__xludf.DUMMYFUNCTION("IMPORTRANGE(""https://docs.google.com/spreadsheets/d/1SX6NBoVAgQJ6U1MVXOaj8PK2l7WJ3RER9xtqwdhxkhw/edit?usp=sharing"",""นครนายก!J166"")"),0)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IFERROR(__xludf.DUMMYFUNCTION("IMPORTRANGE(""https://docs.google.com/spreadsheets/d/1SX6NBoVAgQJ6U1MVXOaj8PK2l7WJ3RER9xtqwdhxkhw/edit?usp=sharing"",""นครนายก!I169"")"),0)</f>
        <v>0</v>
      </c>
      <c r="J249" s="317">
        <f ca="1">IFERROR(__xludf.DUMMYFUNCTION("IMPORTRANGE(""https://docs.google.com/spreadsheets/d/1SX6NBoVAgQJ6U1MVXOaj8PK2l7WJ3RER9xtqwdhxkhw/edit?usp=sharing"",""นครนายก!J169"")"),0)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IFERROR(__xludf.DUMMYFUNCTION("IMPORTRANGE(""https://docs.google.com/spreadsheets/d/1Yj_ptqi66GCucihVvJfMjLAmec39IyEx_6qawtMGysU/edit?usp=sharing"",""สบก!CB65"")"),0)</f>
        <v>0</v>
      </c>
      <c r="N254" s="169">
        <f ca="1">IFERROR(__xludf.DUMMYFUNCTION("IMPORTRANGE(""https://docs.google.com/spreadsheets/d/1Yj_ptqi66GCucihVvJfMjLAmec39IyEx_6qawtMGysU/edit?usp=sharing"",""สบก!CC65"")"),0)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IFERROR(__xludf.DUMMYFUNCTION("IMPORTRANGE(""https://docs.google.com/spreadsheets/d/1SX6NBoVAgQJ6U1MVXOaj8PK2l7WJ3RER9xtqwdhxkhw/edit?usp=sharing"",""นครนายก!J175"")"),0)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IFERROR(__xludf.DUMMYFUNCTION("IMPORTRANGE(""https://docs.google.com/spreadsheets/d/1SX6NBoVAgQJ6U1MVXOaj8PK2l7WJ3RER9xtqwdhxkhw/edit?usp=sharing"",""นครนายก!J176"")"),0)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IFERROR(__xludf.DUMMYFUNCTION("IMPORTRANGE(""https://docs.google.com/spreadsheets/d/1SX6NBoVAgQJ6U1MVXOaj8PK2l7WJ3RER9xtqwdhxkhw/edit?usp=sharing"",""นครนายก!J177"")"),0)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IFERROR(__xludf.DUMMYFUNCTION("IMPORTRANGE(""https://docs.google.com/spreadsheets/d/1SX6NBoVAgQJ6U1MVXOaj8PK2l7WJ3RER9xtqwdhxkhw/edit?usp=sharing"",""นครนายก!J178"")"),0)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IFERROR(__xludf.DUMMYFUNCTION("IMPORTRANGE(""https://docs.google.com/spreadsheets/d/1SX6NBoVAgQJ6U1MVXOaj8PK2l7WJ3RER9xtqwdhxkhw/edit?usp=sharing"",""นครนายก!I179"")"),0)</f>
        <v>0</v>
      </c>
      <c r="J264" s="189">
        <f ca="1">IFERROR(__xludf.DUMMYFUNCTION("IMPORTRANGE(""https://docs.google.com/spreadsheets/d/1SX6NBoVAgQJ6U1MVXOaj8PK2l7WJ3RER9xtqwdhxkhw/edit?usp=sharing"",""นครนายก!J179"")"),0)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IFERROR(__xludf.DUMMYFUNCTION("IMPORTRANGE(""https://docs.google.com/spreadsheets/d/1SX6NBoVAgQJ6U1MVXOaj8PK2l7WJ3RER9xtqwdhxkhw/edit?usp=sharing"",""นครนายก!I180"")"),0)</f>
        <v>0</v>
      </c>
      <c r="J265" s="189">
        <f ca="1">IFERROR(__xludf.DUMMYFUNCTION("IMPORTRANGE(""https://docs.google.com/spreadsheets/d/1SX6NBoVAgQJ6U1MVXOaj8PK2l7WJ3RER9xtqwdhxkhw/edit?usp=sharing"",""นครนายก!J180"")"),0)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IFERROR(__xludf.DUMMYFUNCTION("IMPORTRANGE(""https://docs.google.com/spreadsheets/d/1SX6NBoVAgQJ6U1MVXOaj8PK2l7WJ3RER9xtqwdhxkhw/edit?usp=sharing"",""นครนายก!I181"")"),0)</f>
        <v>0</v>
      </c>
      <c r="J266" s="189">
        <f ca="1">IFERROR(__xludf.DUMMYFUNCTION("IMPORTRANGE(""https://docs.google.com/spreadsheets/d/1SX6NBoVAgQJ6U1MVXOaj8PK2l7WJ3RER9xtqwdhxkhw/edit?usp=sharing"",""นครนายก!J181"")"),0)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IFERROR(__xludf.DUMMYFUNCTION("IMPORTRANGE(""https://docs.google.com/spreadsheets/d/1SX6NBoVAgQJ6U1MVXOaj8PK2l7WJ3RER9xtqwdhxkhw/edit?usp=sharing"",""นครนายก!I182"")"),0)</f>
        <v>0</v>
      </c>
      <c r="J267" s="189">
        <f ca="1">IFERROR(__xludf.DUMMYFUNCTION("IMPORTRANGE(""https://docs.google.com/spreadsheets/d/1SX6NBoVAgQJ6U1MVXOaj8PK2l7WJ3RER9xtqwdhxkhw/edit?usp=sharing"",""นครนายก!J182"")"),0)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IFERROR(__xludf.DUMMYFUNCTION("IMPORTRANGE(""https://docs.google.com/spreadsheets/d/1SX6NBoVAgQJ6U1MVXOaj8PK2l7WJ3RER9xtqwdhxkhw/edit?usp=sharing"",""นครนายก!J183"")"),0)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IFERROR(__xludf.DUMMYFUNCTION("IMPORTRANGE(""https://docs.google.com/spreadsheets/d/1SX6NBoVAgQJ6U1MVXOaj8PK2l7WJ3RER9xtqwdhxkhw/edit?usp=sharing"",""นครนายก!J184"")"),0)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IFERROR(__xludf.DUMMYFUNCTION("IMPORTRANGE(""https://docs.google.com/spreadsheets/d/1SX6NBoVAgQJ6U1MVXOaj8PK2l7WJ3RER9xtqwdhxkhw/edit?usp=sharing"",""นครนายก!I185"")"),15)</f>
        <v>15</v>
      </c>
      <c r="J270" s="317">
        <f ca="1">IFERROR(__xludf.DUMMYFUNCTION("IMPORTRANGE(""https://docs.google.com/spreadsheets/d/1SX6NBoVAgQJ6U1MVXOaj8PK2l7WJ3RER9xtqwdhxkhw/edit?usp=sharing"",""นครนายก!J185"")"),15)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32235</v>
      </c>
      <c r="O271" s="151">
        <f t="shared" ref="O271:O273" ca="1" si="84">IF(L271&gt;0,N271*100/L271,0)</f>
        <v>58.396739130434781</v>
      </c>
      <c r="P271" s="151">
        <f t="shared" ref="P271:P273" ca="1" si="85">IF(M271&gt;0,N271*100/M271,0)</f>
        <v>99.95348837209302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32235</v>
      </c>
      <c r="O273" s="156">
        <f t="shared" ca="1" si="84"/>
        <v>58.396739130434781</v>
      </c>
      <c r="P273" s="156">
        <f t="shared" ca="1" si="85"/>
        <v>99.95348837209302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IFERROR(__xludf.DUMMYFUNCTION("IMPORTRANGE(""https://docs.google.com/spreadsheets/d/1Yj_ptqi66GCucihVvJfMjLAmec39IyEx_6qawtMGysU/edit?usp=sharing"",""สบก!CK65"")"),32250)</f>
        <v>32250</v>
      </c>
      <c r="N275" s="169">
        <f ca="1">IFERROR(__xludf.DUMMYFUNCTION("IMPORTRANGE(""https://docs.google.com/spreadsheets/d/1Yj_ptqi66GCucihVvJfMjLAmec39IyEx_6qawtMGysU/edit?usp=sharing"",""สบก!CL65"")"),32235)</f>
        <v>32235</v>
      </c>
      <c r="O275" s="169">
        <f ca="1">IF(L275&gt;0,N275*100/L275,0)</f>
        <v>58.396739130434781</v>
      </c>
      <c r="P275" s="169">
        <f ca="1">IF(M275&gt;0,N275*100/M275,0)</f>
        <v>99.95348837209302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IFERROR(__xludf.DUMMYFUNCTION("IMPORTRANGE(""https://docs.google.com/spreadsheets/d/1SX6NBoVAgQJ6U1MVXOaj8PK2l7WJ3RER9xtqwdhxkhw/edit?usp=sharing"",""นครนายก!J191"")"),0)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IFERROR(__xludf.DUMMYFUNCTION("IMPORTRANGE(""https://docs.google.com/spreadsheets/d/1SX6NBoVAgQJ6U1MVXOaj8PK2l7WJ3RER9xtqwdhxkhw/edit?usp=sharing"",""นครนายก!J192"")"),1)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IFERROR(__xludf.DUMMYFUNCTION("IMPORTRANGE(""https://docs.google.com/spreadsheets/d/1SX6NBoVAgQJ6U1MVXOaj8PK2l7WJ3RER9xtqwdhxkhw/edit?usp=sharing"",""นครนายก!J193"")"),1)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IFERROR(__xludf.DUMMYFUNCTION("IMPORTRANGE(""https://docs.google.com/spreadsheets/d/1SX6NBoVAgQJ6U1MVXOaj8PK2l7WJ3RER9xtqwdhxkhw/edit?usp=sharing"",""นครนายก!J194"")"),1)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IFERROR(__xludf.DUMMYFUNCTION("IMPORTRANGE(""https://docs.google.com/spreadsheets/d/1SX6NBoVAgQJ6U1MVXOaj8PK2l7WJ3RER9xtqwdhxkhw/edit?usp=sharing"",""นครนายก!I195"")"),15)</f>
        <v>15</v>
      </c>
      <c r="J285" s="189">
        <f ca="1">IFERROR(__xludf.DUMMYFUNCTION("IMPORTRANGE(""https://docs.google.com/spreadsheets/d/1SX6NBoVAgQJ6U1MVXOaj8PK2l7WJ3RER9xtqwdhxkhw/edit?usp=sharing"",""นครนายก!J195"")"),15)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IFERROR(__xludf.DUMMYFUNCTION("IMPORTRANGE(""https://docs.google.com/spreadsheets/d/1SX6NBoVAgQJ6U1MVXOaj8PK2l7WJ3RER9xtqwdhxkhw/edit?usp=sharing"",""นครนายก!J196"")"),0)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IFERROR(__xludf.DUMMYFUNCTION("IMPORTRANGE(""https://docs.google.com/spreadsheets/d/1SX6NBoVAgQJ6U1MVXOaj8PK2l7WJ3RER9xtqwdhxkhw/edit?usp=sharing"",""นครนายก!J197"")"),0)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IFERROR(__xludf.DUMMYFUNCTION("IMPORTRANGE(""https://docs.google.com/spreadsheets/d/1SX6NBoVAgQJ6U1MVXOaj8PK2l7WJ3RER9xtqwdhxkhw/edit?usp=sharing"",""นครนายก!I199"")"),0)</f>
        <v>0</v>
      </c>
      <c r="J289" s="317">
        <f ca="1">IFERROR(__xludf.DUMMYFUNCTION("IMPORTRANGE(""https://docs.google.com/spreadsheets/d/1SX6NBoVAgQJ6U1MVXOaj8PK2l7WJ3RER9xtqwdhxkhw/edit?usp=sharing"",""นครนายก!J199"")"),0)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IFERROR(__xludf.DUMMYFUNCTION("IMPORTRANGE(""https://docs.google.com/spreadsheets/d/1Yj_ptqi66GCucihVvJfMjLAmec39IyEx_6qawtMGysU/edit?usp=sharing"",""สบก!CT65"")"),0)</f>
        <v>0</v>
      </c>
      <c r="N294" s="169">
        <f ca="1">IFERROR(__xludf.DUMMYFUNCTION("IMPORTRANGE(""https://docs.google.com/spreadsheets/d/1Yj_ptqi66GCucihVvJfMjLAmec39IyEx_6qawtMGysU/edit?usp=sharing"",""สบก!CU65"")"),0)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IFERROR(__xludf.DUMMYFUNCTION("IMPORTRANGE(""https://docs.google.com/spreadsheets/d/1Yj_ptqi66GCucihVvJfMjLAmec39IyEx_6qawtMGysU/edit?usp=sharing"",""สบก!CQ65"")"),0)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IFERROR(__xludf.DUMMYFUNCTION("IMPORTRANGE(""https://docs.google.com/spreadsheets/d/1SX6NBoVAgQJ6U1MVXOaj8PK2l7WJ3RER9xtqwdhxkhw/edit?usp=sharing"",""นครนายก!J205"")"),0)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IFERROR(__xludf.DUMMYFUNCTION("IMPORTRANGE(""https://docs.google.com/spreadsheets/d/1SX6NBoVAgQJ6U1MVXOaj8PK2l7WJ3RER9xtqwdhxkhw/edit?usp=sharing"",""นครนายก!J206"")"),0)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IFERROR(__xludf.DUMMYFUNCTION("IMPORTRANGE(""https://docs.google.com/spreadsheets/d/1SX6NBoVAgQJ6U1MVXOaj8PK2l7WJ3RER9xtqwdhxkhw/edit?usp=sharing"",""นครนายก!J207"")"),0)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IFERROR(__xludf.DUMMYFUNCTION("IMPORTRANGE(""https://docs.google.com/spreadsheets/d/1SX6NBoVAgQJ6U1MVXOaj8PK2l7WJ3RER9xtqwdhxkhw/edit?usp=sharing"",""นครนายก!J208"")"),0)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IFERROR(__xludf.DUMMYFUNCTION("IMPORTRANGE(""https://docs.google.com/spreadsheets/d/1SX6NBoVAgQJ6U1MVXOaj8PK2l7WJ3RER9xtqwdhxkhw/edit?usp=sharing"",""นครนายก!I209"")"),0)</f>
        <v>0</v>
      </c>
      <c r="J304" s="204">
        <f ca="1">IFERROR(__xludf.DUMMYFUNCTION("IMPORTRANGE(""https://docs.google.com/spreadsheets/d/1SX6NBoVAgQJ6U1MVXOaj8PK2l7WJ3RER9xtqwdhxkhw/edit?usp=sharing"",""นครนายก!J209"")"),0)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IFERROR(__xludf.DUMMYFUNCTION("IMPORTRANGE(""https://docs.google.com/spreadsheets/d/1SX6NBoVAgQJ6U1MVXOaj8PK2l7WJ3RER9xtqwdhxkhw/edit?usp=sharing"",""นครนายก!I211"")"),0)</f>
        <v>0</v>
      </c>
      <c r="J306" s="204">
        <f ca="1">IFERROR(__xludf.DUMMYFUNCTION("IMPORTRANGE(""https://docs.google.com/spreadsheets/d/1SX6NBoVAgQJ6U1MVXOaj8PK2l7WJ3RER9xtqwdhxkhw/edit?usp=sharing"",""นครนายก!J211"")"),0)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IFERROR(__xludf.DUMMYFUNCTION("IMPORTRANGE(""https://docs.google.com/spreadsheets/d/1SX6NBoVAgQJ6U1MVXOaj8PK2l7WJ3RER9xtqwdhxkhw/edit?usp=sharing"",""นครนายก!J212"")"),0)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IFERROR(__xludf.DUMMYFUNCTION("IMPORTRANGE(""https://docs.google.com/spreadsheets/d/1SX6NBoVAgQJ6U1MVXOaj8PK2l7WJ3RER9xtqwdhxkhw/edit?usp=sharing"",""นครนายก!J213"")"),0)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IFERROR(__xludf.DUMMYFUNCTION("IMPORTRANGE(""https://docs.google.com/spreadsheets/d/1SX6NBoVAgQJ6U1MVXOaj8PK2l7WJ3RER9xtqwdhxkhw/edit?usp=sharing"",""นครนายก!I214"")"),0)</f>
        <v>0</v>
      </c>
      <c r="J309" s="334">
        <f ca="1">IFERROR(__xludf.DUMMYFUNCTION("IMPORTRANGE(""https://docs.google.com/spreadsheets/d/1SX6NBoVAgQJ6U1MVXOaj8PK2l7WJ3RER9xtqwdhxkhw/edit?usp=sharing"",""นครนายก!J214"")"),0)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IFERROR(__xludf.DUMMYFUNCTION("IMPORTRANGE(""https://docs.google.com/spreadsheets/d/1Yj_ptqi66GCucihVvJfMjLAmec39IyEx_6qawtMGysU/edit?usp=sharing"",""สบก!DC65"")"),0)</f>
        <v>0</v>
      </c>
      <c r="N314" s="169">
        <f ca="1">IFERROR(__xludf.DUMMYFUNCTION("IMPORTRANGE(""https://docs.google.com/spreadsheets/d/1Yj_ptqi66GCucihVvJfMjLAmec39IyEx_6qawtMGysU/edit?usp=sharing"",""สบก!DD65"")"),0)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IFERROR(__xludf.DUMMYFUNCTION("IMPORTRANGE(""https://docs.google.com/spreadsheets/d/1Yj_ptqi66GCucihVvJfMjLAmec39IyEx_6qawtMGysU/edit?usp=sharing"",""สบก!CZ65"")"),0)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IFERROR(__xludf.DUMMYFUNCTION("IMPORTRANGE(""https://docs.google.com/spreadsheets/d/1SX6NBoVAgQJ6U1MVXOaj8PK2l7WJ3RER9xtqwdhxkhw/edit?usp=sharing"",""นครนายก!J220"")"),0)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IFERROR(__xludf.DUMMYFUNCTION("IMPORTRANGE(""https://docs.google.com/spreadsheets/d/1SX6NBoVAgQJ6U1MVXOaj8PK2l7WJ3RER9xtqwdhxkhw/edit?usp=sharing"",""นครนายก!J221"")"),0)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IFERROR(__xludf.DUMMYFUNCTION("IMPORTRANGE(""https://docs.google.com/spreadsheets/d/1SX6NBoVAgQJ6U1MVXOaj8PK2l7WJ3RER9xtqwdhxkhw/edit?usp=sharing"",""นครนายก!J222"")"),0)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IFERROR(__xludf.DUMMYFUNCTION("IMPORTRANGE(""https://docs.google.com/spreadsheets/d/1SX6NBoVAgQJ6U1MVXOaj8PK2l7WJ3RER9xtqwdhxkhw/edit?usp=sharing"",""นครนายก!J223"")"),0)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IFERROR(__xludf.DUMMYFUNCTION("IMPORTRANGE(""https://docs.google.com/spreadsheets/d/1SX6NBoVAgQJ6U1MVXOaj8PK2l7WJ3RER9xtqwdhxkhw/edit?usp=sharing"",""นครนายก!I224"")"),0)</f>
        <v>0</v>
      </c>
      <c r="J324" s="204">
        <f ca="1">IFERROR(__xludf.DUMMYFUNCTION("IMPORTRANGE(""https://docs.google.com/spreadsheets/d/1SX6NBoVAgQJ6U1MVXOaj8PK2l7WJ3RER9xtqwdhxkhw/edit?usp=sharing"",""นครนายก!J224"")"),0)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IFERROR(__xludf.DUMMYFUNCTION("IMPORTRANGE(""https://docs.google.com/spreadsheets/d/1SX6NBoVAgQJ6U1MVXOaj8PK2l7WJ3RER9xtqwdhxkhw/edit?usp=sharing"",""นครนายก!J225"")"),0)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IFERROR(__xludf.DUMMYFUNCTION("IMPORTRANGE(""https://docs.google.com/spreadsheets/d/1SX6NBoVAgQJ6U1MVXOaj8PK2l7WJ3RER9xtqwdhxkhw/edit?usp=sharing"",""นครนายก!J226"")"),0)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IFERROR(__xludf.DUMMYFUNCTION("IMPORTRANGE(""https://docs.google.com/spreadsheets/d/1SX6NBoVAgQJ6U1MVXOaj8PK2l7WJ3RER9xtqwdhxkhw/edit?usp=sharing"",""นครนายก!I228"")"),0)</f>
        <v>0</v>
      </c>
      <c r="J328" s="340">
        <f ca="1">IFERROR(__xludf.DUMMYFUNCTION("IMPORTRANGE(""https://docs.google.com/spreadsheets/d/1SX6NBoVAgQJ6U1MVXOaj8PK2l7WJ3RER9xtqwdhxkhw/edit?usp=sharing"",""นครนายก!J228"")"),0)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749180</v>
      </c>
      <c r="M329" s="152">
        <f t="shared" ca="1" si="98"/>
        <v>558790</v>
      </c>
      <c r="N329" s="152">
        <f t="shared" ca="1" si="98"/>
        <v>470033</v>
      </c>
      <c r="O329" s="151">
        <f t="shared" ref="O329:O331" ca="1" si="99">IF(L329&gt;0,N329*100/L329,0)</f>
        <v>62.739662030486663</v>
      </c>
      <c r="P329" s="151">
        <f t="shared" ref="P329:P331" ca="1" si="100">IF(M329&gt;0,N329*100/M329,0)</f>
        <v>84.116215393976276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749180</v>
      </c>
      <c r="M331" s="157">
        <f t="shared" ca="1" si="102"/>
        <v>558790</v>
      </c>
      <c r="N331" s="157">
        <f t="shared" ca="1" si="102"/>
        <v>470033</v>
      </c>
      <c r="O331" s="156">
        <f t="shared" ca="1" si="99"/>
        <v>62.739662030486663</v>
      </c>
      <c r="P331" s="156">
        <f t="shared" ca="1" si="100"/>
        <v>84.116215393976276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711380</v>
      </c>
      <c r="M333" s="168">
        <f ca="1">IFERROR(__xludf.DUMMYFUNCTION("IMPORTRANGE(""https://docs.google.com/spreadsheets/d/1Yj_ptqi66GCucihVvJfMjLAmec39IyEx_6qawtMGysU/edit?usp=sharing"",""สบก!DL65"")"),520990)</f>
        <v>520990</v>
      </c>
      <c r="N333" s="169">
        <f ca="1">IFERROR(__xludf.DUMMYFUNCTION("IMPORTRANGE(""https://docs.google.com/spreadsheets/d/1Yj_ptqi66GCucihVvJfMjLAmec39IyEx_6qawtMGysU/edit?usp=sharing"",""สบก!DM65"")"),432233)</f>
        <v>432233</v>
      </c>
      <c r="O333" s="169">
        <f ca="1">IF(L333&gt;0,N333*100/L333,0)</f>
        <v>60.759790829092751</v>
      </c>
      <c r="P333" s="169">
        <f ca="1">IF(M333&gt;0,N333*100/M333,0)</f>
        <v>82.963780494827162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IFERROR(__xludf.DUMMYFUNCTION("IMPORTRANGE(""https://docs.google.com/spreadsheets/d/1Yj_ptqi66GCucihVvJfMjLAmec39IyEx_6qawtMGysU/edit?usp=sharing"",""สบก!DH65"")"),529200)</f>
        <v>529200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IFERROR(__xludf.DUMMYFUNCTION("IMPORTRANGE(""https://docs.google.com/spreadsheets/d/1Yj_ptqi66GCucihVvJfMjLAmec39IyEx_6qawtMGysU/edit?usp=sharing"",""สบก!DI65"")"),182180)</f>
        <v>182180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IFERROR(__xludf.DUMMYFUNCTION("IMPORTRANGE(""https://docs.google.com/spreadsheets/d/1SX6NBoVAgQJ6U1MVXOaj8PK2l7WJ3RER9xtqwdhxkhw/edit?usp=sharing"",""นครนายก!I234"")"),0)</f>
        <v>0</v>
      </c>
      <c r="J339" s="188">
        <f ca="1">IFERROR(__xludf.DUMMYFUNCTION("IMPORTRANGE(""https://docs.google.com/spreadsheets/d/1SX6NBoVAgQJ6U1MVXOaj8PK2l7WJ3RER9xtqwdhxkhw/edit?usp=sharing"",""นครนายก!J234"")"),0)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IFERROR(__xludf.DUMMYFUNCTION("IMPORTRANGE(""https://docs.google.com/spreadsheets/d/1SX6NBoVAgQJ6U1MVXOaj8PK2l7WJ3RER9xtqwdhxkhw/edit?usp=sharing"",""นครนายก!I235"")"),0)</f>
        <v>0</v>
      </c>
      <c r="J340" s="188">
        <f ca="1">IFERROR(__xludf.DUMMYFUNCTION("IMPORTRANGE(""https://docs.google.com/spreadsheets/d/1SX6NBoVAgQJ6U1MVXOaj8PK2l7WJ3RER9xtqwdhxkhw/edit?usp=sharing"",""นครนายก!J235"")"),0)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IFERROR(__xludf.DUMMYFUNCTION("IMPORTRANGE(""https://docs.google.com/spreadsheets/d/1SX6NBoVAgQJ6U1MVXOaj8PK2l7WJ3RER9xtqwdhxkhw/edit?usp=sharing"",""นครนายก!I236"")"),0)</f>
        <v>0</v>
      </c>
      <c r="J341" s="188">
        <f ca="1">IFERROR(__xludf.DUMMYFUNCTION("IMPORTRANGE(""https://docs.google.com/spreadsheets/d/1SX6NBoVAgQJ6U1MVXOaj8PK2l7WJ3RER9xtqwdhxkhw/edit?usp=sharing"",""นครนายก!J236"")"),0)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8">
        <f ca="1">IFERROR(__xludf.DUMMYFUNCTION("IMPORTRANGE(""https://docs.google.com/spreadsheets/d/1SX6NBoVAgQJ6U1MVXOaj8PK2l7WJ3RER9xtqwdhxkhw/edit?usp=sharing"",""นครนายก!J237"")"),0)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IFERROR(__xludf.DUMMYFUNCTION("IMPORTRANGE(""https://docs.google.com/spreadsheets/d/1SX6NBoVAgQJ6U1MVXOaj8PK2l7WJ3RER9xtqwdhxkhw/edit?usp=sharing"",""นครนายก!I238"")"),0)</f>
        <v>0</v>
      </c>
      <c r="J343" s="188">
        <f ca="1">IFERROR(__xludf.DUMMYFUNCTION("IMPORTRANGE(""https://docs.google.com/spreadsheets/d/1SX6NBoVAgQJ6U1MVXOaj8PK2l7WJ3RER9xtqwdhxkhw/edit?usp=sharing"",""นครนายก!J238"")"),0)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8">
        <f ca="1">IFERROR(__xludf.DUMMYFUNCTION("IMPORTRANGE(""https://docs.google.com/spreadsheets/d/1SX6NBoVAgQJ6U1MVXOaj8PK2l7WJ3RER9xtqwdhxkhw/edit?usp=sharing"",""นครนายก!J239"")"),0)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IFERROR(__xludf.DUMMYFUNCTION("IMPORTRANGE(""https://docs.google.com/spreadsheets/d/1SX6NBoVAgQJ6U1MVXOaj8PK2l7WJ3RER9xtqwdhxkhw/edit?usp=sharing"",""นครนายก!I240"")"),0)</f>
        <v>0</v>
      </c>
      <c r="J345" s="188">
        <f ca="1">IFERROR(__xludf.DUMMYFUNCTION("IMPORTRANGE(""https://docs.google.com/spreadsheets/d/1SX6NBoVAgQJ6U1MVXOaj8PK2l7WJ3RER9xtqwdhxkhw/edit?usp=sharing"",""นครนายก!J240"")"),0)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8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IFERROR(__xludf.DUMMYFUNCTION("IMPORTRANGE(""https://docs.google.com/spreadsheets/d/1SX6NBoVAgQJ6U1MVXOaj8PK2l7WJ3RER9xtqwdhxkhw/edit?usp=sharing"",""นครนายก!L242"")"),786810)</f>
        <v>786810</v>
      </c>
      <c r="M347" s="358"/>
      <c r="N347" s="358">
        <f ca="1">IFERROR(__xludf.DUMMYFUNCTION("IMPORTRANGE(""https://docs.google.com/spreadsheets/d/1SX6NBoVAgQJ6U1MVXOaj8PK2l7WJ3RER9xtqwdhxkhw/edit?usp=sharing"",""นครนายก!M242"")"),447520)</f>
        <v>447520</v>
      </c>
      <c r="O347" s="358">
        <f ca="1">+IF(L347&gt;0,N347*100/L347,0)</f>
        <v>56.877772270306679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IFERROR(__xludf.DUMMYFUNCTION("IMPORTRANGE(""https://docs.google.com/spreadsheets/d/1SX6NBoVAgQJ6U1MVXOaj8PK2l7WJ3RER9xtqwdhxkhw/edit?usp=sharing"",""นครนายก!L244"")"),78920)</f>
        <v>78920</v>
      </c>
      <c r="M349" s="373"/>
      <c r="N349" s="373">
        <f ca="1">IFERROR(__xludf.DUMMYFUNCTION("IMPORTRANGE(""https://docs.google.com/spreadsheets/d/1SX6NBoVAgQJ6U1MVXOaj8PK2l7WJ3RER9xtqwdhxkhw/edit?usp=sharing"",""นครนายก!M244"")"),43200)</f>
        <v>43200</v>
      </c>
      <c r="O349" s="373">
        <f ca="1">+IF(L349&gt;0,N349*100/L349,0)</f>
        <v>54.738976178408514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IFERROR(__xludf.DUMMYFUNCTION("IMPORTRANGE(""https://docs.google.com/spreadsheets/d/1SX6NBoVAgQJ6U1MVXOaj8PK2l7WJ3RER9xtqwdhxkhw/edit?usp=sharing"",""นครนายก!L246"")"),0)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IFERROR(__xludf.DUMMYFUNCTION("IMPORTRANGE(""https://docs.google.com/spreadsheets/d/1SX6NBoVAgQJ6U1MVXOaj8PK2l7WJ3RER9xtqwdhxkhw/edit?usp=sharing"",""นครนายก!M246"")"),0)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IFERROR(__xludf.DUMMYFUNCTION("IMPORTRANGE(""https://docs.google.com/spreadsheets/d/1SX6NBoVAgQJ6U1MVXOaj8PK2l7WJ3RER9xtqwdhxkhw/edit?usp=sharing"",""นครนายก!L247"")"),78920)</f>
        <v>78920</v>
      </c>
      <c r="M352" s="165"/>
      <c r="N352" s="164">
        <f ca="1">IFERROR(__xludf.DUMMYFUNCTION("IMPORTRANGE(""https://docs.google.com/spreadsheets/d/1SX6NBoVAgQJ6U1MVXOaj8PK2l7WJ3RER9xtqwdhxkhw/edit?usp=sharing"",""นครนายก!M247"")"),43200)</f>
        <v>43200</v>
      </c>
      <c r="O352" s="165">
        <f t="shared" ca="1" si="105"/>
        <v>54.738976178408514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IFERROR(__xludf.DUMMYFUNCTION("IMPORTRANGE(""https://docs.google.com/spreadsheets/d/1SX6NBoVAgQJ6U1MVXOaj8PK2l7WJ3RER9xtqwdhxkhw/edit?usp=sharing"",""นครนายก!L248"")"),0)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IFERROR(__xludf.DUMMYFUNCTION("IMPORTRANGE(""https://docs.google.com/spreadsheets/d/1SX6NBoVAgQJ6U1MVXOaj8PK2l7WJ3RER9xtqwdhxkhw/edit?usp=sharing"",""นครนายก!M248"")"),0)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IFERROR(__xludf.DUMMYFUNCTION("IMPORTRANGE(""https://docs.google.com/spreadsheets/d/1SX6NBoVAgQJ6U1MVXOaj8PK2l7WJ3RER9xtqwdhxkhw/edit?usp=sharing"",""นครนายก!L249"")"),78920)</f>
        <v>78920</v>
      </c>
      <c r="M354" s="169"/>
      <c r="N354" s="168">
        <f ca="1">IFERROR(__xludf.DUMMYFUNCTION("IMPORTRANGE(""https://docs.google.com/spreadsheets/d/1SX6NBoVAgQJ6U1MVXOaj8PK2l7WJ3RER9xtqwdhxkhw/edit?usp=sharing"",""นครนายก!M249"")"),43200)</f>
        <v>43200</v>
      </c>
      <c r="O354" s="169">
        <f t="shared" ca="1" si="105"/>
        <v>54.738976178408514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IFERROR(__xludf.DUMMYFUNCTION("IMPORTRANGE(""https://docs.google.com/spreadsheets/d/1SX6NBoVAgQJ6U1MVXOaj8PK2l7WJ3RER9xtqwdhxkhw/edit?usp=sharing"",""นครนายก!M250"")"),43200)</f>
        <v>43200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IFERROR(__xludf.DUMMYFUNCTION("IMPORTRANGE(""https://docs.google.com/spreadsheets/d/1SX6NBoVAgQJ6U1MVXOaj8PK2l7WJ3RER9xtqwdhxkhw/edit?usp=sharing"",""นครนายก!M251"")"),0)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IFERROR(__xludf.DUMMYFUNCTION("IMPORTRANGE(""https://docs.google.com/spreadsheets/d/1SX6NBoVAgQJ6U1MVXOaj8PK2l7WJ3RER9xtqwdhxkhw/edit?usp=sharing"",""นครนายก!M253"")"),0)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IFERROR(__xludf.DUMMYFUNCTION("IMPORTRANGE(""https://docs.google.com/spreadsheets/d/1SX6NBoVAgQJ6U1MVXOaj8PK2l7WJ3RER9xtqwdhxkhw/edit?usp=sharing"",""นครนายก!J255"")"),0)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IFERROR(__xludf.DUMMYFUNCTION("IMPORTRANGE(""https://docs.google.com/spreadsheets/d/1SX6NBoVAgQJ6U1MVXOaj8PK2l7WJ3RER9xtqwdhxkhw/edit?usp=sharing"",""นครนายก!J256"")"),1)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IFERROR(__xludf.DUMMYFUNCTION("IMPORTRANGE(""https://docs.google.com/spreadsheets/d/1SX6NBoVAgQJ6U1MVXOaj8PK2l7WJ3RER9xtqwdhxkhw/edit?usp=sharing"",""นครนายก!J257"")"),1)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IFERROR(__xludf.DUMMYFUNCTION("IMPORTRANGE(""https://docs.google.com/spreadsheets/d/1SX6NBoVAgQJ6U1MVXOaj8PK2l7WJ3RER9xtqwdhxkhw/edit?usp=sharing"",""นครนายก!J258"")"),1)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IFERROR(__xludf.DUMMYFUNCTION("IMPORTRANGE(""https://docs.google.com/spreadsheets/d/1SX6NBoVAgQJ6U1MVXOaj8PK2l7WJ3RER9xtqwdhxkhw/edit?usp=sharing"",""นครนายก!J166"")"),0)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IFERROR(__xludf.DUMMYFUNCTION("IMPORTRANGE(""https://docs.google.com/spreadsheets/d/1SX6NBoVAgQJ6U1MVXOaj8PK2l7WJ3RER9xtqwdhxkhw/edit?usp=sharing"",""นครนายก!J166"")"),0)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IFERROR(__xludf.DUMMYFUNCTION("IMPORTRANGE(""https://docs.google.com/spreadsheets/d/1SX6NBoVAgQJ6U1MVXOaj8PK2l7WJ3RER9xtqwdhxkhw/edit?usp=sharing"",""นครนายก!J166"")"),0)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IFERROR(__xludf.DUMMYFUNCTION("IMPORTRANGE(""https://docs.google.com/spreadsheets/d/1SX6NBoVAgQJ6U1MVXOaj8PK2l7WJ3RER9xtqwdhxkhw/edit?usp=sharing"",""นครนายก!J166"")"),0)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IFERROR(__xludf.DUMMYFUNCTION("IMPORTRANGE(""https://docs.google.com/spreadsheets/d/1SX6NBoVAgQJ6U1MVXOaj8PK2l7WJ3RER9xtqwdhxkhw/edit?usp=sharing"",""นครนายก!I263"")"),15)</f>
        <v>15</v>
      </c>
      <c r="J368" s="188">
        <f ca="1">IFERROR(__xludf.DUMMYFUNCTION("IMPORTRANGE(""https://docs.google.com/spreadsheets/d/1SX6NBoVAgQJ6U1MVXOaj8PK2l7WJ3RER9xtqwdhxkhw/edit?usp=sharing"",""นครนายก!J263"")"),15)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IFERROR(__xludf.DUMMYFUNCTION("IMPORTRANGE(""https://docs.google.com/spreadsheets/d/1SX6NBoVAgQJ6U1MVXOaj8PK2l7WJ3RER9xtqwdhxkhw/edit?usp=sharing"",""นครนายก!I164"")"),0)</f>
        <v>0</v>
      </c>
      <c r="J369" s="204">
        <f ca="1">IFERROR(__xludf.DUMMYFUNCTION("IMPORTRANGE(""https://docs.google.com/spreadsheets/d/1SX6NBoVAgQJ6U1MVXOaj8PK2l7WJ3RER9xtqwdhxkhw/edit?usp=sharing"",""นครนายก!J164"")"),0)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IFERROR(__xludf.DUMMYFUNCTION("IMPORTRANGE(""https://docs.google.com/spreadsheets/d/1SX6NBoVAgQJ6U1MVXOaj8PK2l7WJ3RER9xtqwdhxkhw/edit?usp=sharing"",""นครนายก!I265"")"),15)</f>
        <v>15</v>
      </c>
      <c r="J370" s="204">
        <f ca="1">IFERROR(__xludf.DUMMYFUNCTION("IMPORTRANGE(""https://docs.google.com/spreadsheets/d/1SX6NBoVAgQJ6U1MVXOaj8PK2l7WJ3RER9xtqwdhxkhw/edit?usp=sharing"",""นครนายก!J265"")"),5)</f>
        <v>5</v>
      </c>
      <c r="K370" s="163">
        <f t="shared" ca="1" si="106"/>
        <v>33.333333333333336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IFERROR(__xludf.DUMMYFUNCTION("IMPORTRANGE(""https://docs.google.com/spreadsheets/d/1SX6NBoVAgQJ6U1MVXOaj8PK2l7WJ3RER9xtqwdhxkhw/edit?usp=sharing"",""นครนายก!I164"")"),0)</f>
        <v>0</v>
      </c>
      <c r="J371" s="189">
        <f ca="1">IFERROR(__xludf.DUMMYFUNCTION("IMPORTRANGE(""https://docs.google.com/spreadsheets/d/1SX6NBoVAgQJ6U1MVXOaj8PK2l7WJ3RER9xtqwdhxkhw/edit?usp=sharing"",""นครนายก!J164"")"),0)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IFERROR(__xludf.DUMMYFUNCTION("IMPORTRANGE(""https://docs.google.com/spreadsheets/d/1SX6NBoVAgQJ6U1MVXOaj8PK2l7WJ3RER9xtqwdhxkhw/edit?usp=sharing"",""นครนายก!I267"")"),15)</f>
        <v>15</v>
      </c>
      <c r="J372" s="189">
        <f ca="1">IFERROR(__xludf.DUMMYFUNCTION("IMPORTRANGE(""https://docs.google.com/spreadsheets/d/1SX6NBoVAgQJ6U1MVXOaj8PK2l7WJ3RER9xtqwdhxkhw/edit?usp=sharing"",""นครนายก!J267"")"),10)</f>
        <v>10</v>
      </c>
      <c r="K372" s="163">
        <f t="shared" ca="1" si="106"/>
        <v>66.666666666666671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IFERROR(__xludf.DUMMYFUNCTION("IMPORTRANGE(""https://docs.google.com/spreadsheets/d/1SX6NBoVAgQJ6U1MVXOaj8PK2l7WJ3RER9xtqwdhxkhw/edit?usp=sharing"",""นครนายก!I164"")"),0)</f>
        <v>0</v>
      </c>
      <c r="J373" s="204">
        <f ca="1">IFERROR(__xludf.DUMMYFUNCTION("IMPORTRANGE(""https://docs.google.com/spreadsheets/d/1SX6NBoVAgQJ6U1MVXOaj8PK2l7WJ3RER9xtqwdhxkhw/edit?usp=sharing"",""นครนายก!J164"")"),0)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IFERROR(__xludf.DUMMYFUNCTION("IMPORTRANGE(""https://docs.google.com/spreadsheets/d/1SX6NBoVAgQJ6U1MVXOaj8PK2l7WJ3RER9xtqwdhxkhw/edit?usp=sharing"",""นครนายก!I164"")"),0)</f>
        <v>0</v>
      </c>
      <c r="J374" s="188">
        <f ca="1">IFERROR(__xludf.DUMMYFUNCTION("IMPORTRANGE(""https://docs.google.com/spreadsheets/d/1SX6NBoVAgQJ6U1MVXOaj8PK2l7WJ3RER9xtqwdhxkhw/edit?usp=sharing"",""นครนายก!J164"")"),0)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IFERROR(__xludf.DUMMYFUNCTION("IMPORTRANGE(""https://docs.google.com/spreadsheets/d/1SX6NBoVAgQJ6U1MVXOaj8PK2l7WJ3RER9xtqwdhxkhw/edit?usp=sharing"",""นครนายก!I270"")"),25)</f>
        <v>25</v>
      </c>
      <c r="J375" s="188">
        <f ca="1">IFERROR(__xludf.DUMMYFUNCTION("IMPORTRANGE(""https://docs.google.com/spreadsheets/d/1SX6NBoVAgQJ6U1MVXOaj8PK2l7WJ3RER9xtqwdhxkhw/edit?usp=sharing"",""นครนายก!J270"")"),0)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IFERROR(__xludf.DUMMYFUNCTION("IMPORTRANGE(""https://docs.google.com/spreadsheets/d/1SX6NBoVAgQJ6U1MVXOaj8PK2l7WJ3RER9xtqwdhxkhw/edit?usp=sharing"",""นครนายก!I271"")"),20)</f>
        <v>20</v>
      </c>
      <c r="J376" s="189">
        <f ca="1">IFERROR(__xludf.DUMMYFUNCTION("IMPORTRANGE(""https://docs.google.com/spreadsheets/d/1SX6NBoVAgQJ6U1MVXOaj8PK2l7WJ3RER9xtqwdhxkhw/edit?usp=sharing"",""นครนายก!J271"")"),0)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IFERROR(__xludf.DUMMYFUNCTION("IMPORTRANGE(""https://docs.google.com/spreadsheets/d/1SX6NBoVAgQJ6U1MVXOaj8PK2l7WJ3RER9xtqwdhxkhw/edit?usp=sharing"",""นครนายก!I272"")"),5)</f>
        <v>5</v>
      </c>
      <c r="J377" s="204">
        <f ca="1">IFERROR(__xludf.DUMMYFUNCTION("IMPORTRANGE(""https://docs.google.com/spreadsheets/d/1SX6NBoVAgQJ6U1MVXOaj8PK2l7WJ3RER9xtqwdhxkhw/edit?usp=sharing"",""นครนายก!J272"")"),0)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IFERROR(__xludf.DUMMYFUNCTION("IMPORTRANGE(""https://docs.google.com/spreadsheets/d/1SX6NBoVAgQJ6U1MVXOaj8PK2l7WJ3RER9xtqwdhxkhw/edit?usp=sharing"",""นครนายก!J273"")"),0)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IFERROR(__xludf.DUMMYFUNCTION("IMPORTRANGE(""https://docs.google.com/spreadsheets/d/1SX6NBoVAgQJ6U1MVXOaj8PK2l7WJ3RER9xtqwdhxkhw/edit?usp=sharing"",""นครนายก!J274"")"),0)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IFERROR(__xludf.DUMMYFUNCTION("IMPORTRANGE(""https://docs.google.com/spreadsheets/d/1SX6NBoVAgQJ6U1MVXOaj8PK2l7WJ3RER9xtqwdhxkhw/edit?usp=sharing"",""นครนายก!M275"")"),43980)</f>
        <v>43980</v>
      </c>
      <c r="O380" s="373">
        <f ca="1">+IF(L380&gt;0,N380*100/L380,0)</f>
        <v>50.142515106601302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IFERROR(__xludf.DUMMYFUNCTION("IMPORTRANGE(""https://docs.google.com/spreadsheets/d/1SX6NBoVAgQJ6U1MVXOaj8PK2l7WJ3RER9xtqwdhxkhw/edit?usp=sharing"",""นครนายก!L277"")"),0)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IFERROR(__xludf.DUMMYFUNCTION("IMPORTRANGE(""https://docs.google.com/spreadsheets/d/1SX6NBoVAgQJ6U1MVXOaj8PK2l7WJ3RER9xtqwdhxkhw/edit?usp=sharing"",""นครนายก!M277"")"),0)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IFERROR(__xludf.DUMMYFUNCTION("IMPORTRANGE(""https://docs.google.com/spreadsheets/d/1SX6NBoVAgQJ6U1MVXOaj8PK2l7WJ3RER9xtqwdhxkhw/edit?usp=sharing"",""นครนายก!L278"")"),87710)</f>
        <v>87710</v>
      </c>
      <c r="M383" s="165"/>
      <c r="N383" s="165">
        <f ca="1">IFERROR(__xludf.DUMMYFUNCTION("IMPORTRANGE(""https://docs.google.com/spreadsheets/d/1SX6NBoVAgQJ6U1MVXOaj8PK2l7WJ3RER9xtqwdhxkhw/edit?usp=sharing"",""นครนายก!M278"")"),43980)</f>
        <v>43980</v>
      </c>
      <c r="O383" s="165">
        <f t="shared" ca="1" si="109"/>
        <v>50.142515106601302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IFERROR(__xludf.DUMMYFUNCTION("IMPORTRANGE(""https://docs.google.com/spreadsheets/d/1SX6NBoVAgQJ6U1MVXOaj8PK2l7WJ3RER9xtqwdhxkhw/edit?usp=sharing"",""นครนายก!L279"")"),0)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IFERROR(__xludf.DUMMYFUNCTION("IMPORTRANGE(""https://docs.google.com/spreadsheets/d/1SX6NBoVAgQJ6U1MVXOaj8PK2l7WJ3RER9xtqwdhxkhw/edit?usp=sharing"",""นครนายก!M279"")"),0)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IFERROR(__xludf.DUMMYFUNCTION("IMPORTRANGE(""https://docs.google.com/spreadsheets/d/1SX6NBoVAgQJ6U1MVXOaj8PK2l7WJ3RER9xtqwdhxkhw/edit?usp=sharing"",""นครนายก!L280"")"),87710)</f>
        <v>87710</v>
      </c>
      <c r="M385" s="169"/>
      <c r="N385" s="168">
        <f ca="1">IFERROR(__xludf.DUMMYFUNCTION("IMPORTRANGE(""https://docs.google.com/spreadsheets/d/1SX6NBoVAgQJ6U1MVXOaj8PK2l7WJ3RER9xtqwdhxkhw/edit?usp=sharing"",""นครนายก!M280"")"),43980)</f>
        <v>43980</v>
      </c>
      <c r="O385" s="169">
        <f t="shared" ca="1" si="109"/>
        <v>50.142515106601302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IFERROR(__xludf.DUMMYFUNCTION("IMPORTRANGE(""https://docs.google.com/spreadsheets/d/1SX6NBoVAgQJ6U1MVXOaj8PK2l7WJ3RER9xtqwdhxkhw/edit?usp=sharing"",""นครนายก!M281"")"),6450)</f>
        <v>6450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IFERROR(__xludf.DUMMYFUNCTION("IMPORTRANGE(""https://docs.google.com/spreadsheets/d/1SX6NBoVAgQJ6U1MVXOaj8PK2l7WJ3RER9xtqwdhxkhw/edit?usp=sharing"",""นครนายก!M282"")"),31250)</f>
        <v>31250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IFERROR(__xludf.DUMMYFUNCTION("IMPORTRANGE(""https://docs.google.com/spreadsheets/d/1SX6NBoVAgQJ6U1MVXOaj8PK2l7WJ3RER9xtqwdhxkhw/edit?usp=sharing"",""นครนายก!M284"")"),6280)</f>
        <v>6280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IFERROR(__xludf.DUMMYFUNCTION("IMPORTRANGE(""https://docs.google.com/spreadsheets/d/1SX6NBoVAgQJ6U1MVXOaj8PK2l7WJ3RER9xtqwdhxkhw/edit?usp=sharing"",""นครนายก!J286"")"),0)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IFERROR(__xludf.DUMMYFUNCTION("IMPORTRANGE(""https://docs.google.com/spreadsheets/d/1SX6NBoVAgQJ6U1MVXOaj8PK2l7WJ3RER9xtqwdhxkhw/edit?usp=sharing"",""นครนายก!J287"")"),1)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IFERROR(__xludf.DUMMYFUNCTION("IMPORTRANGE(""https://docs.google.com/spreadsheets/d/1SX6NBoVAgQJ6U1MVXOaj8PK2l7WJ3RER9xtqwdhxkhw/edit?usp=sharing"",""นครนายก!J288"")"),1)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IFERROR(__xludf.DUMMYFUNCTION("IMPORTRANGE(""https://docs.google.com/spreadsheets/d/1SX6NBoVAgQJ6U1MVXOaj8PK2l7WJ3RER9xtqwdhxkhw/edit?usp=sharing"",""นครนายก!J289"")"),1)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IFERROR(__xludf.DUMMYFUNCTION("IMPORTRANGE(""https://docs.google.com/spreadsheets/d/1SX6NBoVAgQJ6U1MVXOaj8PK2l7WJ3RER9xtqwdhxkhw/edit?usp=sharing"",""นครนายก!I291"")"),5)</f>
        <v>5</v>
      </c>
      <c r="J396" s="198">
        <f ca="1">IFERROR(__xludf.DUMMYFUNCTION("IMPORTRANGE(""https://docs.google.com/spreadsheets/d/1SX6NBoVAgQJ6U1MVXOaj8PK2l7WJ3RER9xtqwdhxkhw/edit?usp=sharing"",""นครนายก!J291"")"),6)</f>
        <v>6</v>
      </c>
      <c r="K396" s="163">
        <f t="shared" ref="K396:K398" ca="1" si="110">IF(I396&gt;0,J396*100/I396,0)</f>
        <v>120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IFERROR(__xludf.DUMMYFUNCTION("IMPORTRANGE(""https://docs.google.com/spreadsheets/d/1SX6NBoVAgQJ6U1MVXOaj8PK2l7WJ3RER9xtqwdhxkhw/edit?usp=sharing"",""นครนายก!I292"")"),50)</f>
        <v>50</v>
      </c>
      <c r="J397" s="198">
        <f ca="1">IFERROR(__xludf.DUMMYFUNCTION("IMPORTRANGE(""https://docs.google.com/spreadsheets/d/1SX6NBoVAgQJ6U1MVXOaj8PK2l7WJ3RER9xtqwdhxkhw/edit?usp=sharing"",""นครนายก!J292"")"),50)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IFERROR(__xludf.DUMMYFUNCTION("IMPORTRANGE(""https://docs.google.com/spreadsheets/d/1SX6NBoVAgQJ6U1MVXOaj8PK2l7WJ3RER9xtqwdhxkhw/edit?usp=sharing"",""นครนายก!I293"")"),5)</f>
        <v>5</v>
      </c>
      <c r="J398" s="198">
        <f ca="1">IFERROR(__xludf.DUMMYFUNCTION("IMPORTRANGE(""https://docs.google.com/spreadsheets/d/1SX6NBoVAgQJ6U1MVXOaj8PK2l7WJ3RER9xtqwdhxkhw/edit?usp=sharing"",""นครนายก!J293"")"),5)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IFERROR(__xludf.DUMMYFUNCTION("IMPORTRANGE(""https://docs.google.com/spreadsheets/d/1SX6NBoVAgQJ6U1MVXOaj8PK2l7WJ3RER9xtqwdhxkhw/edit?usp=sharing"",""นครนายก!J294"")"),0)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IFERROR(__xludf.DUMMYFUNCTION("IMPORTRANGE(""https://docs.google.com/spreadsheets/d/1SX6NBoVAgQJ6U1MVXOaj8PK2l7WJ3RER9xtqwdhxkhw/edit?usp=sharing"",""นครนายก!J295"")"),0)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IFERROR(__xludf.DUMMYFUNCTION("IMPORTRANGE(""https://docs.google.com/spreadsheets/d/1SX6NBoVAgQJ6U1MVXOaj8PK2l7WJ3RER9xtqwdhxkhw/edit?usp=sharing"",""นครนายก!M296"")"),205000)</f>
        <v>205000</v>
      </c>
      <c r="O401" s="373">
        <f ca="1">+IF(L401&gt;0,N401*100/L401,0)</f>
        <v>89.37524523695339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IFERROR(__xludf.DUMMYFUNCTION("IMPORTRANGE(""https://docs.google.com/spreadsheets/d/1SX6NBoVAgQJ6U1MVXOaj8PK2l7WJ3RER9xtqwdhxkhw/edit?usp=sharing"",""นครนายก!L298"")"),0)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IFERROR(__xludf.DUMMYFUNCTION("IMPORTRANGE(""https://docs.google.com/spreadsheets/d/1SX6NBoVAgQJ6U1MVXOaj8PK2l7WJ3RER9xtqwdhxkhw/edit?usp=sharing"",""นครนายก!M298"")"),0)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IFERROR(__xludf.DUMMYFUNCTION("IMPORTRANGE(""https://docs.google.com/spreadsheets/d/1SX6NBoVAgQJ6U1MVXOaj8PK2l7WJ3RER9xtqwdhxkhw/edit?usp=sharing"",""นครนายก!L299"")"),229370)</f>
        <v>229370</v>
      </c>
      <c r="M404" s="165"/>
      <c r="N404" s="169">
        <f ca="1">IFERROR(__xludf.DUMMYFUNCTION("IMPORTRANGE(""https://docs.google.com/spreadsheets/d/1SX6NBoVAgQJ6U1MVXOaj8PK2l7WJ3RER9xtqwdhxkhw/edit?usp=sharing"",""นครนายก!M299"")"),205000)</f>
        <v>205000</v>
      </c>
      <c r="O404" s="169">
        <f t="shared" ca="1" si="112"/>
        <v>89.37524523695339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IFERROR(__xludf.DUMMYFUNCTION("IMPORTRANGE(""https://docs.google.com/spreadsheets/d/1SX6NBoVAgQJ6U1MVXOaj8PK2l7WJ3RER9xtqwdhxkhw/edit?usp=sharing"",""นครนายก!L300"")"),0)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IFERROR(__xludf.DUMMYFUNCTION("IMPORTRANGE(""https://docs.google.com/spreadsheets/d/1SX6NBoVAgQJ6U1MVXOaj8PK2l7WJ3RER9xtqwdhxkhw/edit?usp=sharing"",""นครนายก!M300"")"),0)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IFERROR(__xludf.DUMMYFUNCTION("IMPORTRANGE(""https://docs.google.com/spreadsheets/d/1SX6NBoVAgQJ6U1MVXOaj8PK2l7WJ3RER9xtqwdhxkhw/edit?usp=sharing"",""นครนายก!L301"")"),229370)</f>
        <v>229370</v>
      </c>
      <c r="M406" s="169"/>
      <c r="N406" s="169">
        <f ca="1">IFERROR(__xludf.DUMMYFUNCTION("IMPORTRANGE(""https://docs.google.com/spreadsheets/d/1SX6NBoVAgQJ6U1MVXOaj8PK2l7WJ3RER9xtqwdhxkhw/edit?usp=sharing"",""นครนายก!M301"")"),205000)</f>
        <v>205000</v>
      </c>
      <c r="O406" s="169">
        <f t="shared" ca="1" si="112"/>
        <v>89.37524523695339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IFERROR(__xludf.DUMMYFUNCTION("IMPORTRANGE(""https://docs.google.com/spreadsheets/d/1SX6NBoVAgQJ6U1MVXOaj8PK2l7WJ3RER9xtqwdhxkhw/edit?usp=sharing"",""นครนายก!M302"")"),122050)</f>
        <v>122050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IFERROR(__xludf.DUMMYFUNCTION("IMPORTRANGE(""https://docs.google.com/spreadsheets/d/1SX6NBoVAgQJ6U1MVXOaj8PK2l7WJ3RER9xtqwdhxkhw/edit?usp=sharing"",""นครนายก!M303"")"),62500)</f>
        <v>62500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IFERROR(__xludf.DUMMYFUNCTION("IMPORTRANGE(""https://docs.google.com/spreadsheets/d/1SX6NBoVAgQJ6U1MVXOaj8PK2l7WJ3RER9xtqwdhxkhw/edit?usp=sharing"",""นครนายก!M305"")"),20450)</f>
        <v>20450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IFERROR(__xludf.DUMMYFUNCTION("IMPORTRANGE(""https://docs.google.com/spreadsheets/d/1SX6NBoVAgQJ6U1MVXOaj8PK2l7WJ3RER9xtqwdhxkhw/edit?usp=sharing"",""นครนายก!J307"")"),0)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IFERROR(__xludf.DUMMYFUNCTION("IMPORTRANGE(""https://docs.google.com/spreadsheets/d/1SX6NBoVAgQJ6U1MVXOaj8PK2l7WJ3RER9xtqwdhxkhw/edit?usp=sharing"",""นครนายก!J308"")"),1)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IFERROR(__xludf.DUMMYFUNCTION("IMPORTRANGE(""https://docs.google.com/spreadsheets/d/1SX6NBoVAgQJ6U1MVXOaj8PK2l7WJ3RER9xtqwdhxkhw/edit?usp=sharing"",""นครนายก!J309"")"),1)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IFERROR(__xludf.DUMMYFUNCTION("IMPORTRANGE(""https://docs.google.com/spreadsheets/d/1SX6NBoVAgQJ6U1MVXOaj8PK2l7WJ3RER9xtqwdhxkhw/edit?usp=sharing"",""นครนายก!J310"")"),1)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IFERROR(__xludf.DUMMYFUNCTION("IMPORTRANGE(""https://docs.google.com/spreadsheets/d/1SX6NBoVAgQJ6U1MVXOaj8PK2l7WJ3RER9xtqwdhxkhw/edit?usp=sharing"",""นครนายก!I311"")"),68)</f>
        <v>68</v>
      </c>
      <c r="J416" s="201">
        <f ca="1">IFERROR(__xludf.DUMMYFUNCTION("IMPORTRANGE(""https://docs.google.com/spreadsheets/d/1SX6NBoVAgQJ6U1MVXOaj8PK2l7WJ3RER9xtqwdhxkhw/edit?usp=sharing"",""นครนายก!J311"")"),68)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IFERROR(__xludf.DUMMYFUNCTION("IMPORTRANGE(""https://docs.google.com/spreadsheets/d/1SX6NBoVAgQJ6U1MVXOaj8PK2l7WJ3RER9xtqwdhxkhw/edit?usp=sharing"",""นครนายก!J321"")"),13)</f>
        <v>13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IFERROR(__xludf.DUMMYFUNCTION("IMPORTRANGE(""https://docs.google.com/spreadsheets/d/1SX6NBoVAgQJ6U1MVXOaj8PK2l7WJ3RER9xtqwdhxkhw/edit?usp=sharing"",""นครนายก!J324"")"),13)</f>
        <v>13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IFERROR(__xludf.DUMMYFUNCTION("IMPORTRANGE(""https://docs.google.com/spreadsheets/d/1SX6NBoVAgQJ6U1MVXOaj8PK2l7WJ3RER9xtqwdhxkhw/edit?usp=sharing"",""นครนายก!J328"")"),0)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IFERROR(__xludf.DUMMYFUNCTION("IMPORTRANGE(""https://docs.google.com/spreadsheets/d/1SX6NBoVAgQJ6U1MVXOaj8PK2l7WJ3RER9xtqwdhxkhw/edit?usp=sharing"",""นครนายก!J329"")"),0)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IFERROR(__xludf.DUMMYFUNCTION("IMPORTRANGE(""https://docs.google.com/spreadsheets/d/1SX6NBoVAgQJ6U1MVXOaj8PK2l7WJ3RER9xtqwdhxkhw/edit?usp=sharing"",""นครนายก!M330"")"),97890)</f>
        <v>97890</v>
      </c>
      <c r="O435" s="412">
        <f t="shared" ref="O435:O439" ca="1" si="114">+IF(L435&gt;0,N435*100/L435,0)</f>
        <v>42.560869565217388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IFERROR(__xludf.DUMMYFUNCTION("IMPORTRANGE(""https://docs.google.com/spreadsheets/d/1SX6NBoVAgQJ6U1MVXOaj8PK2l7WJ3RER9xtqwdhxkhw/edit?usp=sharing"",""นครนายก!L331"")"),0)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IFERROR(__xludf.DUMMYFUNCTION("IMPORTRANGE(""https://docs.google.com/spreadsheets/d/1SX6NBoVAgQJ6U1MVXOaj8PK2l7WJ3RER9xtqwdhxkhw/edit?usp=sharing"",""นครนายก!M331"")"),0)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IFERROR(__xludf.DUMMYFUNCTION("IMPORTRANGE(""https://docs.google.com/spreadsheets/d/1SX6NBoVAgQJ6U1MVXOaj8PK2l7WJ3RER9xtqwdhxkhw/edit?usp=sharing"",""นครนายก!L332"")"),230000)</f>
        <v>230000</v>
      </c>
      <c r="M437" s="165"/>
      <c r="N437" s="169">
        <f ca="1">IFERROR(__xludf.DUMMYFUNCTION("IMPORTRANGE(""https://docs.google.com/spreadsheets/d/1SX6NBoVAgQJ6U1MVXOaj8PK2l7WJ3RER9xtqwdhxkhw/edit?usp=sharing"",""นครนายก!M332"")"),97890)</f>
        <v>97890</v>
      </c>
      <c r="O437" s="169">
        <f t="shared" ca="1" si="114"/>
        <v>42.560869565217388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IFERROR(__xludf.DUMMYFUNCTION("IMPORTRANGE(""https://docs.google.com/spreadsheets/d/1SX6NBoVAgQJ6U1MVXOaj8PK2l7WJ3RER9xtqwdhxkhw/edit?usp=sharing"",""นครนายก!L333"")"),0)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IFERROR(__xludf.DUMMYFUNCTION("IMPORTRANGE(""https://docs.google.com/spreadsheets/d/1SX6NBoVAgQJ6U1MVXOaj8PK2l7WJ3RER9xtqwdhxkhw/edit?usp=sharing"",""นครนายก!M333"")"),0)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IFERROR(__xludf.DUMMYFUNCTION("IMPORTRANGE(""https://docs.google.com/spreadsheets/d/1SX6NBoVAgQJ6U1MVXOaj8PK2l7WJ3RER9xtqwdhxkhw/edit?usp=sharing"",""นครนายก!L334"")"),230000)</f>
        <v>230000</v>
      </c>
      <c r="M439" s="169"/>
      <c r="N439" s="169">
        <f ca="1">IFERROR(__xludf.DUMMYFUNCTION("IMPORTRANGE(""https://docs.google.com/spreadsheets/d/1SX6NBoVAgQJ6U1MVXOaj8PK2l7WJ3RER9xtqwdhxkhw/edit?usp=sharing"",""นครนายก!M334"")"),97890)</f>
        <v>97890</v>
      </c>
      <c r="O439" s="169">
        <f t="shared" ca="1" si="114"/>
        <v>42.560869565217388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IFERROR(__xludf.DUMMYFUNCTION("IMPORTRANGE(""https://docs.google.com/spreadsheets/d/1SX6NBoVAgQJ6U1MVXOaj8PK2l7WJ3RER9xtqwdhxkhw/edit?usp=sharing"",""นครนายก!M335"")"),97890)</f>
        <v>97890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IFERROR(__xludf.DUMMYFUNCTION("IMPORTRANGE(""https://docs.google.com/spreadsheets/d/1SX6NBoVAgQJ6U1MVXOaj8PK2l7WJ3RER9xtqwdhxkhw/edit?usp=sharing"",""นครนายก!M338"")"),0)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IFERROR(__xludf.DUMMYFUNCTION("IMPORTRANGE(""https://docs.google.com/spreadsheets/d/1SX6NBoVAgQJ6U1MVXOaj8PK2l7WJ3RER9xtqwdhxkhw/edit?usp=sharing"",""นครนายก!J340"")"),0)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IFERROR(__xludf.DUMMYFUNCTION("IMPORTRANGE(""https://docs.google.com/spreadsheets/d/1SX6NBoVAgQJ6U1MVXOaj8PK2l7WJ3RER9xtqwdhxkhw/edit?usp=sharing"",""นครนายก!J342"")"),1)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IFERROR(__xludf.DUMMYFUNCTION("IMPORTRANGE(""https://docs.google.com/spreadsheets/d/1SX6NBoVAgQJ6U1MVXOaj8PK2l7WJ3RER9xtqwdhxkhw/edit?usp=sharing"",""นครนายก!J343"")"),1)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1">
        <f ca="1">IFERROR(__xludf.DUMMYFUNCTION("IMPORTRANGE(""https://docs.google.com/spreadsheets/d/1SX6NBoVAgQJ6U1MVXOaj8PK2l7WJ3RER9xtqwdhxkhw/edit?usp=sharing"",""นครนายก!J344"")"),84)</f>
        <v>84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IFERROR(__xludf.DUMMYFUNCTION("IMPORTRANGE(""https://docs.google.com/spreadsheets/d/1SX6NBoVAgQJ6U1MVXOaj8PK2l7WJ3RER9xtqwdhxkhw/edit?usp=sharing"",""นครนายก!I345"")"),24)</f>
        <v>24</v>
      </c>
      <c r="J450" s="189">
        <f ca="1">IFERROR(__xludf.DUMMYFUNCTION("IMPORTRANGE(""https://docs.google.com/spreadsheets/d/1SX6NBoVAgQJ6U1MVXOaj8PK2l7WJ3RER9xtqwdhxkhw/edit?usp=sharing"",""นครนายก!J345"")"),24)</f>
        <v>24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IFERROR(__xludf.DUMMYFUNCTION("IMPORTRANGE(""https://docs.google.com/spreadsheets/d/1SX6NBoVAgQJ6U1MVXOaj8PK2l7WJ3RER9xtqwdhxkhw/edit?usp=sharing"",""นครนายก!I346"")"),60)</f>
        <v>60</v>
      </c>
      <c r="J451" s="188">
        <f ca="1">IFERROR(__xludf.DUMMYFUNCTION("IMPORTRANGE(""https://docs.google.com/spreadsheets/d/1SX6NBoVAgQJ6U1MVXOaj8PK2l7WJ3RER9xtqwdhxkhw/edit?usp=sharing"",""นครนายก!J346"")"),60)</f>
        <v>60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IFERROR(__xludf.DUMMYFUNCTION("IMPORTRANGE(""https://docs.google.com/spreadsheets/d/1SX6NBoVAgQJ6U1MVXOaj8PK2l7WJ3RER9xtqwdhxkhw/edit?usp=sharing"",""นครนายก!I347"")"),0)</f>
        <v>0</v>
      </c>
      <c r="J452" s="188">
        <f ca="1">IFERROR(__xludf.DUMMYFUNCTION("IMPORTRANGE(""https://docs.google.com/spreadsheets/d/1SX6NBoVAgQJ6U1MVXOaj8PK2l7WJ3RER9xtqwdhxkhw/edit?usp=sharing"",""นครนายก!J347"")"),0)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IFERROR(__xludf.DUMMYFUNCTION("IMPORTRANGE(""https://docs.google.com/spreadsheets/d/1SX6NBoVAgQJ6U1MVXOaj8PK2l7WJ3RER9xtqwdhxkhw/edit?usp=sharing"",""นครนายก!J348"")"),0)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IFERROR(__xludf.DUMMYFUNCTION("IMPORTRANGE(""https://docs.google.com/spreadsheets/d/1SX6NBoVAgQJ6U1MVXOaj8PK2l7WJ3RER9xtqwdhxkhw/edit?usp=sharing"",""นครนายก!J349"")"),0)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IFERROR(__xludf.DUMMYFUNCTION("IMPORTRANGE(""https://docs.google.com/spreadsheets/d/1SX6NBoVAgQJ6U1MVXOaj8PK2l7WJ3RER9xtqwdhxkhw/edit?usp=sharing"",""นครนายก!L351"")"),0)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IFERROR(__xludf.DUMMYFUNCTION("IMPORTRANGE(""https://docs.google.com/spreadsheets/d/1SX6NBoVAgQJ6U1MVXOaj8PK2l7WJ3RER9xtqwdhxkhw/edit?usp=sharing"",""นครนายก!M351"")"),0)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IFERROR(__xludf.DUMMYFUNCTION("IMPORTRANGE(""https://docs.google.com/spreadsheets/d/1SX6NBoVAgQJ6U1MVXOaj8PK2l7WJ3RER9xtqwdhxkhw/edit?usp=sharing"",""นครนายก!L352"")"),0)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IFERROR(__xludf.DUMMYFUNCTION("IMPORTRANGE(""https://docs.google.com/spreadsheets/d/1SX6NBoVAgQJ6U1MVXOaj8PK2l7WJ3RER9xtqwdhxkhw/edit?usp=sharing"",""นครนายก!M352"")"),0)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IFERROR(__xludf.DUMMYFUNCTION("IMPORTRANGE(""https://docs.google.com/spreadsheets/d/1SX6NBoVAgQJ6U1MVXOaj8PK2l7WJ3RER9xtqwdhxkhw/edit?usp=sharing"",""นครนายก!L353"")"),0)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IFERROR(__xludf.DUMMYFUNCTION("IMPORTRANGE(""https://docs.google.com/spreadsheets/d/1SX6NBoVAgQJ6U1MVXOaj8PK2l7WJ3RER9xtqwdhxkhw/edit?usp=sharing"",""นครนายก!M353"")"),0)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IFERROR(__xludf.DUMMYFUNCTION("IMPORTRANGE(""https://docs.google.com/spreadsheets/d/1SX6NBoVAgQJ6U1MVXOaj8PK2l7WJ3RER9xtqwdhxkhw/edit?usp=sharing"",""นครนายก!L354"")"),0)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IFERROR(__xludf.DUMMYFUNCTION("IMPORTRANGE(""https://docs.google.com/spreadsheets/d/1SX6NBoVAgQJ6U1MVXOaj8PK2l7WJ3RER9xtqwdhxkhw/edit?usp=sharing"",""นครนายก!M354"")"),0)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IFERROR(__xludf.DUMMYFUNCTION("IMPORTRANGE(""https://docs.google.com/spreadsheets/d/1SX6NBoVAgQJ6U1MVXOaj8PK2l7WJ3RER9xtqwdhxkhw/edit?usp=sharing"",""นครนายก!M355"")"),0)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IFERROR(__xludf.DUMMYFUNCTION("IMPORTRANGE(""https://docs.google.com/spreadsheets/d/1SX6NBoVAgQJ6U1MVXOaj8PK2l7WJ3RER9xtqwdhxkhw/edit?usp=sharing"",""นครนายก!M356"")"),0)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IFERROR(__xludf.DUMMYFUNCTION("IMPORTRANGE(""https://docs.google.com/spreadsheets/d/1SX6NBoVAgQJ6U1MVXOaj8PK2l7WJ3RER9xtqwdhxkhw/edit?usp=sharing"",""นครนายก!I359"")"),0)</f>
        <v>0</v>
      </c>
      <c r="J464" s="268">
        <f ca="1">IFERROR(__xludf.DUMMYFUNCTION("IMPORTRANGE(""https://docs.google.com/spreadsheets/d/1SX6NBoVAgQJ6U1MVXOaj8PK2l7WJ3RER9xtqwdhxkhw/edit?usp=sharing"",""นครนายก!J359"")"),0)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IFERROR(__xludf.DUMMYFUNCTION("IMPORTRANGE(""https://docs.google.com/spreadsheets/d/1SX6NBoVAgQJ6U1MVXOaj8PK2l7WJ3RER9xtqwdhxkhw/edit?usp=sharing"",""นครนายก!I362"")"),0)</f>
        <v>0</v>
      </c>
      <c r="J467" s="189">
        <f ca="1">IFERROR(__xludf.DUMMYFUNCTION("IMPORTRANGE(""https://docs.google.com/spreadsheets/d/1SX6NBoVAgQJ6U1MVXOaj8PK2l7WJ3RER9xtqwdhxkhw/edit?usp=sharing"",""นครนายก!J362"")"),0)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IFERROR(__xludf.DUMMYFUNCTION("IMPORTRANGE(""https://docs.google.com/spreadsheets/d/1SX6NBoVAgQJ6U1MVXOaj8PK2l7WJ3RER9xtqwdhxkhw/edit?usp=sharing"",""นครนายก!I363"")"),0)</f>
        <v>0</v>
      </c>
      <c r="J468" s="189">
        <f ca="1">IFERROR(__xludf.DUMMYFUNCTION("IMPORTRANGE(""https://docs.google.com/spreadsheets/d/1SX6NBoVAgQJ6U1MVXOaj8PK2l7WJ3RER9xtqwdhxkhw/edit?usp=sharing"",""นครนายก!J363"")"),0)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IFERROR(__xludf.DUMMYFUNCTION("IMPORTRANGE(""https://docs.google.com/spreadsheets/d/1SX6NBoVAgQJ6U1MVXOaj8PK2l7WJ3RER9xtqwdhxkhw/edit?usp=sharing"",""นครนายก!I364"")"),0)</f>
        <v>0</v>
      </c>
      <c r="J469" s="189">
        <f ca="1">IFERROR(__xludf.DUMMYFUNCTION("IMPORTRANGE(""https://docs.google.com/spreadsheets/d/1SX6NBoVAgQJ6U1MVXOaj8PK2l7WJ3RER9xtqwdhxkhw/edit?usp=sharing"",""นครนายก!J364"")"),0)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IFERROR(__xludf.DUMMYFUNCTION("IMPORTRANGE(""https://docs.google.com/spreadsheets/d/1SX6NBoVAgQJ6U1MVXOaj8PK2l7WJ3RER9xtqwdhxkhw/edit?usp=sharing"",""นครนายก!I365"")"),0)</f>
        <v>0</v>
      </c>
      <c r="J470" s="189">
        <f ca="1">IFERROR(__xludf.DUMMYFUNCTION("IMPORTRANGE(""https://docs.google.com/spreadsheets/d/1SX6NBoVAgQJ6U1MVXOaj8PK2l7WJ3RER9xtqwdhxkhw/edit?usp=sharing"",""นครนายก!J365"")"),0)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IFERROR(__xludf.DUMMYFUNCTION("IMPORTRANGE(""https://docs.google.com/spreadsheets/d/1SX6NBoVAgQJ6U1MVXOaj8PK2l7WJ3RER9xtqwdhxkhw/edit?usp=sharing"",""นครนายก!I366"")"),0)</f>
        <v>0</v>
      </c>
      <c r="J471" s="189">
        <f ca="1">IFERROR(__xludf.DUMMYFUNCTION("IMPORTRANGE(""https://docs.google.com/spreadsheets/d/1SX6NBoVAgQJ6U1MVXOaj8PK2l7WJ3RER9xtqwdhxkhw/edit?usp=sharing"",""นครนายก!J366"")"),0)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IFERROR(__xludf.DUMMYFUNCTION("IMPORTRANGE(""https://docs.google.com/spreadsheets/d/1SX6NBoVAgQJ6U1MVXOaj8PK2l7WJ3RER9xtqwdhxkhw/edit?usp=sharing"",""นครนายก!I367"")"),0)</f>
        <v>0</v>
      </c>
      <c r="J472" s="189">
        <f ca="1">IFERROR(__xludf.DUMMYFUNCTION("IMPORTRANGE(""https://docs.google.com/spreadsheets/d/1SX6NBoVAgQJ6U1MVXOaj8PK2l7WJ3RER9xtqwdhxkhw/edit?usp=sharing"",""นครนายก!J367"")"),0)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IFERROR(__xludf.DUMMYFUNCTION("IMPORTRANGE(""https://docs.google.com/spreadsheets/d/1SX6NBoVAgQJ6U1MVXOaj8PK2l7WJ3RER9xtqwdhxkhw/edit?usp=sharing"",""นครนายก!I370"")"),0)</f>
        <v>0</v>
      </c>
      <c r="J475" s="189">
        <f ca="1">IFERROR(__xludf.DUMMYFUNCTION("IMPORTRANGE(""https://docs.google.com/spreadsheets/d/1SX6NBoVAgQJ6U1MVXOaj8PK2l7WJ3RER9xtqwdhxkhw/edit?usp=sharing"",""นครนายก!J370"")"),0)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IFERROR(__xludf.DUMMYFUNCTION("IMPORTRANGE(""https://docs.google.com/spreadsheets/d/1SX6NBoVAgQJ6U1MVXOaj8PK2l7WJ3RER9xtqwdhxkhw/edit?usp=sharing"",""นครนายก!I371"")"),0)</f>
        <v>0</v>
      </c>
      <c r="J476" s="189">
        <f ca="1">IFERROR(__xludf.DUMMYFUNCTION("IMPORTRANGE(""https://docs.google.com/spreadsheets/d/1SX6NBoVAgQJ6U1MVXOaj8PK2l7WJ3RER9xtqwdhxkhw/edit?usp=sharing"",""นครนายก!J371"")"),0)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IFERROR(__xludf.DUMMYFUNCTION("IMPORTRANGE(""https://docs.google.com/spreadsheets/d/1SX6NBoVAgQJ6U1MVXOaj8PK2l7WJ3RER9xtqwdhxkhw/edit?usp=sharing"",""นครนายก!I372"")"),0)</f>
        <v>0</v>
      </c>
      <c r="J477" s="189">
        <f ca="1">IFERROR(__xludf.DUMMYFUNCTION("IMPORTRANGE(""https://docs.google.com/spreadsheets/d/1SX6NBoVAgQJ6U1MVXOaj8PK2l7WJ3RER9xtqwdhxkhw/edit?usp=sharing"",""นครนายก!J372"")"),0)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IFERROR(__xludf.DUMMYFUNCTION("IMPORTRANGE(""https://docs.google.com/spreadsheets/d/1SX6NBoVAgQJ6U1MVXOaj8PK2l7WJ3RER9xtqwdhxkhw/edit?usp=sharing"",""นครนายก!I373"")"),0)</f>
        <v>0</v>
      </c>
      <c r="J478" s="189">
        <f ca="1">IFERROR(__xludf.DUMMYFUNCTION("IMPORTRANGE(""https://docs.google.com/spreadsheets/d/1SX6NBoVAgQJ6U1MVXOaj8PK2l7WJ3RER9xtqwdhxkhw/edit?usp=sharing"",""นครนายก!J373"")"),0)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IFERROR(__xludf.DUMMYFUNCTION("IMPORTRANGE(""https://docs.google.com/spreadsheets/d/1SX6NBoVAgQJ6U1MVXOaj8PK2l7WJ3RER9xtqwdhxkhw/edit?usp=sharing"",""นครนายก!I374"")"),0)</f>
        <v>0</v>
      </c>
      <c r="J479" s="189">
        <f ca="1">IFERROR(__xludf.DUMMYFUNCTION("IMPORTRANGE(""https://docs.google.com/spreadsheets/d/1SX6NBoVAgQJ6U1MVXOaj8PK2l7WJ3RER9xtqwdhxkhw/edit?usp=sharing"",""นครนายก!J374"")"),0)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IFERROR(__xludf.DUMMYFUNCTION("IMPORTRANGE(""https://docs.google.com/spreadsheets/d/1SX6NBoVAgQJ6U1MVXOaj8PK2l7WJ3RER9xtqwdhxkhw/edit?usp=sharing"",""นครนายก!I375"")"),0)</f>
        <v>0</v>
      </c>
      <c r="J480" s="189">
        <f ca="1">IFERROR(__xludf.DUMMYFUNCTION("IMPORTRANGE(""https://docs.google.com/spreadsheets/d/1SX6NBoVAgQJ6U1MVXOaj8PK2l7WJ3RER9xtqwdhxkhw/edit?usp=sharing"",""นครนายก!J375"")"),0)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IFERROR(__xludf.DUMMYFUNCTION("IMPORTRANGE(""https://docs.google.com/spreadsheets/d/1SX6NBoVAgQJ6U1MVXOaj8PK2l7WJ3RER9xtqwdhxkhw/edit?usp=sharing"",""นครนายก!I378"")"),0)</f>
        <v>0</v>
      </c>
      <c r="J483" s="189">
        <f ca="1">IFERROR(__xludf.DUMMYFUNCTION("IMPORTRANGE(""https://docs.google.com/spreadsheets/d/1SX6NBoVAgQJ6U1MVXOaj8PK2l7WJ3RER9xtqwdhxkhw/edit?usp=sharing"",""นครนายก!J378"")"),0)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IFERROR(__xludf.DUMMYFUNCTION("IMPORTRANGE(""https://docs.google.com/spreadsheets/d/1SX6NBoVAgQJ6U1MVXOaj8PK2l7WJ3RER9xtqwdhxkhw/edit?usp=sharing"",""นครนายก!I379"")"),0)</f>
        <v>0</v>
      </c>
      <c r="J484" s="189">
        <f ca="1">IFERROR(__xludf.DUMMYFUNCTION("IMPORTRANGE(""https://docs.google.com/spreadsheets/d/1SX6NBoVAgQJ6U1MVXOaj8PK2l7WJ3RER9xtqwdhxkhw/edit?usp=sharing"",""นครนายก!J379"")"),0)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IFERROR(__xludf.DUMMYFUNCTION("IMPORTRANGE(""https://docs.google.com/spreadsheets/d/1SX6NBoVAgQJ6U1MVXOaj8PK2l7WJ3RER9xtqwdhxkhw/edit?usp=sharing"",""นครนายก!I380"")"),0)</f>
        <v>0</v>
      </c>
      <c r="J485" s="189">
        <f ca="1">IFERROR(__xludf.DUMMYFUNCTION("IMPORTRANGE(""https://docs.google.com/spreadsheets/d/1SX6NBoVAgQJ6U1MVXOaj8PK2l7WJ3RER9xtqwdhxkhw/edit?usp=sharing"",""นครนายก!J380"")"),0)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IFERROR(__xludf.DUMMYFUNCTION("IMPORTRANGE(""https://docs.google.com/spreadsheets/d/1SX6NBoVAgQJ6U1MVXOaj8PK2l7WJ3RER9xtqwdhxkhw/edit?usp=sharing"",""นครนายก!I381"")"),0)</f>
        <v>0</v>
      </c>
      <c r="J486" s="189">
        <f ca="1">IFERROR(__xludf.DUMMYFUNCTION("IMPORTRANGE(""https://docs.google.com/spreadsheets/d/1SX6NBoVAgQJ6U1MVXOaj8PK2l7WJ3RER9xtqwdhxkhw/edit?usp=sharing"",""นครนายก!J381"")"),0)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IFERROR(__xludf.DUMMYFUNCTION("IMPORTRANGE(""https://docs.google.com/spreadsheets/d/1SX6NBoVAgQJ6U1MVXOaj8PK2l7WJ3RER9xtqwdhxkhw/edit?usp=sharing"",""นครนายก!I384"")"),0)</f>
        <v>0</v>
      </c>
      <c r="J489" s="189">
        <f ca="1">IFERROR(__xludf.DUMMYFUNCTION("IMPORTRANGE(""https://docs.google.com/spreadsheets/d/1SX6NBoVAgQJ6U1MVXOaj8PK2l7WJ3RER9xtqwdhxkhw/edit?usp=sharing"",""นครนายก!J384"")"),0)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IFERROR(__xludf.DUMMYFUNCTION("IMPORTRANGE(""https://docs.google.com/spreadsheets/d/1SX6NBoVAgQJ6U1MVXOaj8PK2l7WJ3RER9xtqwdhxkhw/edit?usp=sharing"",""นครนายก!I385"")"),0)</f>
        <v>0</v>
      </c>
      <c r="J490" s="189">
        <f ca="1">IFERROR(__xludf.DUMMYFUNCTION("IMPORTRANGE(""https://docs.google.com/spreadsheets/d/1SX6NBoVAgQJ6U1MVXOaj8PK2l7WJ3RER9xtqwdhxkhw/edit?usp=sharing"",""นครนายก!J385"")"),0)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IFERROR(__xludf.DUMMYFUNCTION("IMPORTRANGE(""https://docs.google.com/spreadsheets/d/1SX6NBoVAgQJ6U1MVXOaj8PK2l7WJ3RER9xtqwdhxkhw/edit?usp=sharing"",""นครนายก!I386"")"),0)</f>
        <v>0</v>
      </c>
      <c r="J491" s="189">
        <f ca="1">IFERROR(__xludf.DUMMYFUNCTION("IMPORTRANGE(""https://docs.google.com/spreadsheets/d/1SX6NBoVAgQJ6U1MVXOaj8PK2l7WJ3RER9xtqwdhxkhw/edit?usp=sharing"",""นครนายก!J386"")"),0)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IFERROR(__xludf.DUMMYFUNCTION("IMPORTRANGE(""https://docs.google.com/spreadsheets/d/1SX6NBoVAgQJ6U1MVXOaj8PK2l7WJ3RER9xtqwdhxkhw/edit?usp=sharing"",""นครนายก!I387"")"),0)</f>
        <v>0</v>
      </c>
      <c r="J492" s="189">
        <f ca="1">IFERROR(__xludf.DUMMYFUNCTION("IMPORTRANGE(""https://docs.google.com/spreadsheets/d/1SX6NBoVAgQJ6U1MVXOaj8PK2l7WJ3RER9xtqwdhxkhw/edit?usp=sharing"",""นครนายก!J387"")"),0)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IFERROR(__xludf.DUMMYFUNCTION("IMPORTRANGE(""https://docs.google.com/spreadsheets/d/1SX6NBoVAgQJ6U1MVXOaj8PK2l7WJ3RER9xtqwdhxkhw/edit?usp=sharing"",""นครนายก!I388"")"),0)</f>
        <v>0</v>
      </c>
      <c r="J493" s="189">
        <f ca="1">IFERROR(__xludf.DUMMYFUNCTION("IMPORTRANGE(""https://docs.google.com/spreadsheets/d/1SX6NBoVAgQJ6U1MVXOaj8PK2l7WJ3RER9xtqwdhxkhw/edit?usp=sharing"",""นครนายก!J388"")"),0)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IFERROR(__xludf.DUMMYFUNCTION("IMPORTRANGE(""https://docs.google.com/spreadsheets/d/1SX6NBoVAgQJ6U1MVXOaj8PK2l7WJ3RER9xtqwdhxkhw/edit?usp=sharing"",""นครนายก!I395"")"),0)</f>
        <v>0</v>
      </c>
      <c r="J500" s="162">
        <f ca="1">IFERROR(__xludf.DUMMYFUNCTION("IMPORTRANGE(""https://docs.google.com/spreadsheets/d/1SX6NBoVAgQJ6U1MVXOaj8PK2l7WJ3RER9xtqwdhxkhw/edit?usp=sharing"",""นครนายก!J395"")"),0)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IFERROR(__xludf.DUMMYFUNCTION("IMPORTRANGE(""https://docs.google.com/spreadsheets/d/1SX6NBoVAgQJ6U1MVXOaj8PK2l7WJ3RER9xtqwdhxkhw/edit?usp=sharing"",""นครนายก!I396"")"),0)</f>
        <v>0</v>
      </c>
      <c r="J501" s="162">
        <f ca="1">IFERROR(__xludf.DUMMYFUNCTION("IMPORTRANGE(""https://docs.google.com/spreadsheets/d/1SX6NBoVAgQJ6U1MVXOaj8PK2l7WJ3RER9xtqwdhxkhw/edit?usp=sharing"",""นครนายก!J396"")"),0)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IFERROR(__xludf.DUMMYFUNCTION("IMPORTRANGE(""https://docs.google.com/spreadsheets/d/1SX6NBoVAgQJ6U1MVXOaj8PK2l7WJ3RER9xtqwdhxkhw/edit?usp=sharing"",""นครนายก!I397"")"),0)</f>
        <v>0</v>
      </c>
      <c r="J502" s="189">
        <f ca="1">IFERROR(__xludf.DUMMYFUNCTION("IMPORTRANGE(""https://docs.google.com/spreadsheets/d/1SX6NBoVAgQJ6U1MVXOaj8PK2l7WJ3RER9xtqwdhxkhw/edit?usp=sharing"",""นครนายก!J397"")"),0)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IFERROR(__xludf.DUMMYFUNCTION("IMPORTRANGE(""https://docs.google.com/spreadsheets/d/1SX6NBoVAgQJ6U1MVXOaj8PK2l7WJ3RER9xtqwdhxkhw/edit?usp=sharing"",""นครนายก!I398"")"),0)</f>
        <v>0</v>
      </c>
      <c r="J503" s="198">
        <f ca="1">IFERROR(__xludf.DUMMYFUNCTION("IMPORTRANGE(""https://docs.google.com/spreadsheets/d/1SX6NBoVAgQJ6U1MVXOaj8PK2l7WJ3RER9xtqwdhxkhw/edit?usp=sharing"",""นครนายก!J398"")"),0)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IFERROR(__xludf.DUMMYFUNCTION("IMPORTRANGE(""https://docs.google.com/spreadsheets/d/1SX6NBoVAgQJ6U1MVXOaj8PK2l7WJ3RER9xtqwdhxkhw/edit?usp=sharing"",""นครนายก!I399"")"),0)</f>
        <v>0</v>
      </c>
      <c r="J504" s="189">
        <f ca="1">IFERROR(__xludf.DUMMYFUNCTION("IMPORTRANGE(""https://docs.google.com/spreadsheets/d/1SX6NBoVAgQJ6U1MVXOaj8PK2l7WJ3RER9xtqwdhxkhw/edit?usp=sharing"",""นครนายก!J399"")"),0)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IFERROR(__xludf.DUMMYFUNCTION("IMPORTRANGE(""https://docs.google.com/spreadsheets/d/1SX6NBoVAgQJ6U1MVXOaj8PK2l7WJ3RER9xtqwdhxkhw/edit?usp=sharing"",""นครนายก!I400"")"),0)</f>
        <v>0</v>
      </c>
      <c r="J505" s="198">
        <f ca="1">IFERROR(__xludf.DUMMYFUNCTION("IMPORTRANGE(""https://docs.google.com/spreadsheets/d/1SX6NBoVAgQJ6U1MVXOaj8PK2l7WJ3RER9xtqwdhxkhw/edit?usp=sharing"",""นครนายก!J400"")"),0)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IFERROR(__xludf.DUMMYFUNCTION("IMPORTRANGE(""https://docs.google.com/spreadsheets/d/1SX6NBoVAgQJ6U1MVXOaj8PK2l7WJ3RER9xtqwdhxkhw/edit?usp=sharing"",""นครนายก!I401"")"),0)</f>
        <v>0</v>
      </c>
      <c r="J506" s="189">
        <f ca="1">IFERROR(__xludf.DUMMYFUNCTION("IMPORTRANGE(""https://docs.google.com/spreadsheets/d/1SX6NBoVAgQJ6U1MVXOaj8PK2l7WJ3RER9xtqwdhxkhw/edit?usp=sharing"",""นครนายก!J401"")"),0)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IFERROR(__xludf.DUMMYFUNCTION("IMPORTRANGE(""https://docs.google.com/spreadsheets/d/1SX6NBoVAgQJ6U1MVXOaj8PK2l7WJ3RER9xtqwdhxkhw/edit?usp=sharing"",""นครนายก!I402"")"),0)</f>
        <v>0</v>
      </c>
      <c r="J507" s="198">
        <f ca="1">IFERROR(__xludf.DUMMYFUNCTION("IMPORTRANGE(""https://docs.google.com/spreadsheets/d/1SX6NBoVAgQJ6U1MVXOaj8PK2l7WJ3RER9xtqwdhxkhw/edit?usp=sharing"",""นครนายก!J402"")"),0)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IFERROR(__xludf.DUMMYFUNCTION("IMPORTRANGE(""https://docs.google.com/spreadsheets/d/1SX6NBoVAgQJ6U1MVXOaj8PK2l7WJ3RER9xtqwdhxkhw/edit?usp=sharing"",""นครนายก!I403"")"),0)</f>
        <v>0</v>
      </c>
      <c r="J508" s="162">
        <f ca="1">IFERROR(__xludf.DUMMYFUNCTION("IMPORTRANGE(""https://docs.google.com/spreadsheets/d/1SX6NBoVAgQJ6U1MVXOaj8PK2l7WJ3RER9xtqwdhxkhw/edit?usp=sharing"",""นครนายก!J403"")"),0)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IFERROR(__xludf.DUMMYFUNCTION("IMPORTRANGE(""https://docs.google.com/spreadsheets/d/1SX6NBoVAgQJ6U1MVXOaj8PK2l7WJ3RER9xtqwdhxkhw/edit?usp=sharing"",""นครนายก!I404"")"),0)</f>
        <v>0</v>
      </c>
      <c r="J509" s="162">
        <f ca="1">IFERROR(__xludf.DUMMYFUNCTION("IMPORTRANGE(""https://docs.google.com/spreadsheets/d/1SX6NBoVAgQJ6U1MVXOaj8PK2l7WJ3RER9xtqwdhxkhw/edit?usp=sharing"",""นครนายก!J404"")"),0)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IFERROR(__xludf.DUMMYFUNCTION("IMPORTRANGE(""https://docs.google.com/spreadsheets/d/1SX6NBoVAgQJ6U1MVXOaj8PK2l7WJ3RER9xtqwdhxkhw/edit?usp=sharing"",""นครนายก!I405"")"),0)</f>
        <v>0</v>
      </c>
      <c r="J510" s="198">
        <f ca="1">IFERROR(__xludf.DUMMYFUNCTION("IMPORTRANGE(""https://docs.google.com/spreadsheets/d/1SX6NBoVAgQJ6U1MVXOaj8PK2l7WJ3RER9xtqwdhxkhw/edit?usp=sharing"",""นครนายก!J405"")"),0)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IFERROR(__xludf.DUMMYFUNCTION("IMPORTRANGE(""https://docs.google.com/spreadsheets/d/1SX6NBoVAgQJ6U1MVXOaj8PK2l7WJ3RER9xtqwdhxkhw/edit?usp=sharing"",""นครนายก!I406"")"),0)</f>
        <v>0</v>
      </c>
      <c r="J511" s="198">
        <f ca="1">IFERROR(__xludf.DUMMYFUNCTION("IMPORTRANGE(""https://docs.google.com/spreadsheets/d/1SX6NBoVAgQJ6U1MVXOaj8PK2l7WJ3RER9xtqwdhxkhw/edit?usp=sharing"",""นครนายก!J406"")"),0)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IFERROR(__xludf.DUMMYFUNCTION("IMPORTRANGE(""https://docs.google.com/spreadsheets/d/1SX6NBoVAgQJ6U1MVXOaj8PK2l7WJ3RER9xtqwdhxkhw/edit?usp=sharing"",""นครนายก!I407"")"),0)</f>
        <v>0</v>
      </c>
      <c r="J512" s="198">
        <f ca="1">IFERROR(__xludf.DUMMYFUNCTION("IMPORTRANGE(""https://docs.google.com/spreadsheets/d/1SX6NBoVAgQJ6U1MVXOaj8PK2l7WJ3RER9xtqwdhxkhw/edit?usp=sharing"",""นครนายก!J407"")"),0)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IFERROR(__xludf.DUMMYFUNCTION("IMPORTRANGE(""https://docs.google.com/spreadsheets/d/1SX6NBoVAgQJ6U1MVXOaj8PK2l7WJ3RER9xtqwdhxkhw/edit?usp=sharing"",""นครนายก!I408"")"),0)</f>
        <v>0</v>
      </c>
      <c r="J513" s="198">
        <f ca="1">IFERROR(__xludf.DUMMYFUNCTION("IMPORTRANGE(""https://docs.google.com/spreadsheets/d/1SX6NBoVAgQJ6U1MVXOaj8PK2l7WJ3RER9xtqwdhxkhw/edit?usp=sharing"",""นครนายก!J408"")"),0)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IFERROR(__xludf.DUMMYFUNCTION("IMPORTRANGE(""https://docs.google.com/spreadsheets/d/1SX6NBoVAgQJ6U1MVXOaj8PK2l7WJ3RER9xtqwdhxkhw/edit?usp=sharing"",""นครนายก!I409"")"),0)</f>
        <v>0</v>
      </c>
      <c r="J514" s="198">
        <f ca="1">IFERROR(__xludf.DUMMYFUNCTION("IMPORTRANGE(""https://docs.google.com/spreadsheets/d/1SX6NBoVAgQJ6U1MVXOaj8PK2l7WJ3RER9xtqwdhxkhw/edit?usp=sharing"",""นครนายก!J409"")"),0)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IFERROR(__xludf.DUMMYFUNCTION("IMPORTRANGE(""https://docs.google.com/spreadsheets/d/1SX6NBoVAgQJ6U1MVXOaj8PK2l7WJ3RER9xtqwdhxkhw/edit?usp=sharing"",""นครนายก!I410"")"),0)</f>
        <v>0</v>
      </c>
      <c r="J515" s="198">
        <f ca="1">IFERROR(__xludf.DUMMYFUNCTION("IMPORTRANGE(""https://docs.google.com/spreadsheets/d/1SX6NBoVAgQJ6U1MVXOaj8PK2l7WJ3RER9xtqwdhxkhw/edit?usp=sharing"",""นครนายก!J410"")"),0)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IFERROR(__xludf.DUMMYFUNCTION("IMPORTRANGE(""https://docs.google.com/spreadsheets/d/1SX6NBoVAgQJ6U1MVXOaj8PK2l7WJ3RER9xtqwdhxkhw/edit?usp=sharing"",""นครนายก!I411"")"),0)</f>
        <v>0</v>
      </c>
      <c r="J516" s="268">
        <f ca="1">IFERROR(__xludf.DUMMYFUNCTION("IMPORTRANGE(""https://docs.google.com/spreadsheets/d/1SX6NBoVAgQJ6U1MVXOaj8PK2l7WJ3RER9xtqwdhxkhw/edit?usp=sharing"",""นครนายก!J411"")"),0)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IFERROR(__xludf.DUMMYFUNCTION("IMPORTRANGE(""https://docs.google.com/spreadsheets/d/1SX6NBoVAgQJ6U1MVXOaj8PK2l7WJ3RER9xtqwdhxkhw/edit?usp=sharing"",""นครนายก!I412"")"),0)</f>
        <v>0</v>
      </c>
      <c r="J517" s="285">
        <f ca="1">IFERROR(__xludf.DUMMYFUNCTION("IMPORTRANGE(""https://docs.google.com/spreadsheets/d/1SX6NBoVAgQJ6U1MVXOaj8PK2l7WJ3RER9xtqwdhxkhw/edit?usp=sharing"",""นครนายก!J412"")"),0)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IFERROR(__xludf.DUMMYFUNCTION("IMPORTRANGE(""https://docs.google.com/spreadsheets/d/1SX6NBoVAgQJ6U1MVXOaj8PK2l7WJ3RER9xtqwdhxkhw/edit?usp=sharing"",""นครนายก!I413"")"),0)</f>
        <v>0</v>
      </c>
      <c r="J518" s="285">
        <f ca="1">IFERROR(__xludf.DUMMYFUNCTION("IMPORTRANGE(""https://docs.google.com/spreadsheets/d/1SX6NBoVAgQJ6U1MVXOaj8PK2l7WJ3RER9xtqwdhxkhw/edit?usp=sharing"",""นครนายก!J413"")"),0)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IFERROR(__xludf.DUMMYFUNCTION("IMPORTRANGE(""https://docs.google.com/spreadsheets/d/1SX6NBoVAgQJ6U1MVXOaj8PK2l7WJ3RER9xtqwdhxkhw/edit?usp=sharing"",""นครนายก!I414"")"),0)</f>
        <v>0</v>
      </c>
      <c r="J519" s="188">
        <f ca="1">IFERROR(__xludf.DUMMYFUNCTION("IMPORTRANGE(""https://docs.google.com/spreadsheets/d/1SX6NBoVAgQJ6U1MVXOaj8PK2l7WJ3RER9xtqwdhxkhw/edit?usp=sharing"",""นครนายก!J414"")"),0)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IFERROR(__xludf.DUMMYFUNCTION("IMPORTRANGE(""https://docs.google.com/spreadsheets/d/1SX6NBoVAgQJ6U1MVXOaj8PK2l7WJ3RER9xtqwdhxkhw/edit?usp=sharing"",""นครนายก!I415"")"),0)</f>
        <v>0</v>
      </c>
      <c r="J520" s="188">
        <f ca="1">IFERROR(__xludf.DUMMYFUNCTION("IMPORTRANGE(""https://docs.google.com/spreadsheets/d/1SX6NBoVAgQJ6U1MVXOaj8PK2l7WJ3RER9xtqwdhxkhw/edit?usp=sharing"",""นครนายก!J415"")"),0)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IFERROR(__xludf.DUMMYFUNCTION("IMPORTRANGE(""https://docs.google.com/spreadsheets/d/1SX6NBoVAgQJ6U1MVXOaj8PK2l7WJ3RER9xtqwdhxkhw/edit?usp=sharing"",""นครนายก!I416"")"),0)</f>
        <v>0</v>
      </c>
      <c r="J521" s="188">
        <f ca="1">IFERROR(__xludf.DUMMYFUNCTION("IMPORTRANGE(""https://docs.google.com/spreadsheets/d/1SX6NBoVAgQJ6U1MVXOaj8PK2l7WJ3RER9xtqwdhxkhw/edit?usp=sharing"",""นครนายก!J416"")"),0)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IFERROR(__xludf.DUMMYFUNCTION("IMPORTRANGE(""https://docs.google.com/spreadsheets/d/1SX6NBoVAgQJ6U1MVXOaj8PK2l7WJ3RER9xtqwdhxkhw/edit?usp=sharing"",""นครนายก!I417"")"),0)</f>
        <v>0</v>
      </c>
      <c r="J522" s="188">
        <f ca="1">IFERROR(__xludf.DUMMYFUNCTION("IMPORTRANGE(""https://docs.google.com/spreadsheets/d/1SX6NBoVAgQJ6U1MVXOaj8PK2l7WJ3RER9xtqwdhxkhw/edit?usp=sharing"",""นครนายก!J417"")"),0)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IFERROR(__xludf.DUMMYFUNCTION("IMPORTRANGE(""https://docs.google.com/spreadsheets/d/1SX6NBoVAgQJ6U1MVXOaj8PK2l7WJ3RER9xtqwdhxkhw/edit?usp=sharing"",""นครนายก!I418"")"),0)</f>
        <v>0</v>
      </c>
      <c r="J523" s="188">
        <f ca="1">IFERROR(__xludf.DUMMYFUNCTION("IMPORTRANGE(""https://docs.google.com/spreadsheets/d/1SX6NBoVAgQJ6U1MVXOaj8PK2l7WJ3RER9xtqwdhxkhw/edit?usp=sharing"",""นครนายก!J418"")"),0)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IFERROR(__xludf.DUMMYFUNCTION("IMPORTRANGE(""https://docs.google.com/spreadsheets/d/1SX6NBoVAgQJ6U1MVXOaj8PK2l7WJ3RER9xtqwdhxkhw/edit?usp=sharing"",""นครนายก!I419"")"),0)</f>
        <v>0</v>
      </c>
      <c r="J524" s="188">
        <f ca="1">IFERROR(__xludf.DUMMYFUNCTION("IMPORTRANGE(""https://docs.google.com/spreadsheets/d/1SX6NBoVAgQJ6U1MVXOaj8PK2l7WJ3RER9xtqwdhxkhw/edit?usp=sharing"",""นครนายก!J419"")"),0)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IFERROR(__xludf.DUMMYFUNCTION("IMPORTRANGE(""https://docs.google.com/spreadsheets/d/1SX6NBoVAgQJ6U1MVXOaj8PK2l7WJ3RER9xtqwdhxkhw/edit?usp=sharing"",""นครนายก!I420"")"),0)</f>
        <v>0</v>
      </c>
      <c r="J525" s="285">
        <f ca="1">IFERROR(__xludf.DUMMYFUNCTION("IMPORTRANGE(""https://docs.google.com/spreadsheets/d/1SX6NBoVAgQJ6U1MVXOaj8PK2l7WJ3RER9xtqwdhxkhw/edit?usp=sharing"",""นครนายก!J420"")"),0)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IFERROR(__xludf.DUMMYFUNCTION("IMPORTRANGE(""https://docs.google.com/spreadsheets/d/1SX6NBoVAgQJ6U1MVXOaj8PK2l7WJ3RER9xtqwdhxkhw/edit?usp=sharing"",""นครนายก!I421"")"),0)</f>
        <v>0</v>
      </c>
      <c r="J526" s="285">
        <f ca="1">IFERROR(__xludf.DUMMYFUNCTION("IMPORTRANGE(""https://docs.google.com/spreadsheets/d/1SX6NBoVAgQJ6U1MVXOaj8PK2l7WJ3RER9xtqwdhxkhw/edit?usp=sharing"",""นครนายก!J421"")"),0)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IFERROR(__xludf.DUMMYFUNCTION("IMPORTRANGE(""https://docs.google.com/spreadsheets/d/1SX6NBoVAgQJ6U1MVXOaj8PK2l7WJ3RER9xtqwdhxkhw/edit?usp=sharing"",""นครนายก!I422"")"),0)</f>
        <v>0</v>
      </c>
      <c r="J527" s="198">
        <f ca="1">IFERROR(__xludf.DUMMYFUNCTION("IMPORTRANGE(""https://docs.google.com/spreadsheets/d/1SX6NBoVAgQJ6U1MVXOaj8PK2l7WJ3RER9xtqwdhxkhw/edit?usp=sharing"",""นครนายก!J422"")"),0)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IFERROR(__xludf.DUMMYFUNCTION("IMPORTRANGE(""https://docs.google.com/spreadsheets/d/1SX6NBoVAgQJ6U1MVXOaj8PK2l7WJ3RER9xtqwdhxkhw/edit?usp=sharing"",""นครนายก!I423"")"),0)</f>
        <v>0</v>
      </c>
      <c r="J528" s="198">
        <f ca="1">IFERROR(__xludf.DUMMYFUNCTION("IMPORTRANGE(""https://docs.google.com/spreadsheets/d/1SX6NBoVAgQJ6U1MVXOaj8PK2l7WJ3RER9xtqwdhxkhw/edit?usp=sharing"",""นครนายก!J423"")"),0)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IFERROR(__xludf.DUMMYFUNCTION("IMPORTRANGE(""https://docs.google.com/spreadsheets/d/1SX6NBoVAgQJ6U1MVXOaj8PK2l7WJ3RER9xtqwdhxkhw/edit?usp=sharing"",""นครนายก!I424"")"),0)</f>
        <v>0</v>
      </c>
      <c r="J529" s="198">
        <f ca="1">IFERROR(__xludf.DUMMYFUNCTION("IMPORTRANGE(""https://docs.google.com/spreadsheets/d/1SX6NBoVAgQJ6U1MVXOaj8PK2l7WJ3RER9xtqwdhxkhw/edit?usp=sharing"",""นครนายก!J424"")"),0)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IFERROR(__xludf.DUMMYFUNCTION("IMPORTRANGE(""https://docs.google.com/spreadsheets/d/1SX6NBoVAgQJ6U1MVXOaj8PK2l7WJ3RER9xtqwdhxkhw/edit?usp=sharing"",""นครนายก!I425"")"),0)</f>
        <v>0</v>
      </c>
      <c r="J530" s="198">
        <f ca="1">IFERROR(__xludf.DUMMYFUNCTION("IMPORTRANGE(""https://docs.google.com/spreadsheets/d/1SX6NBoVAgQJ6U1MVXOaj8PK2l7WJ3RER9xtqwdhxkhw/edit?usp=sharing"",""นครนายก!J425"")"),0)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IFERROR(__xludf.DUMMYFUNCTION("IMPORTRANGE(""https://docs.google.com/spreadsheets/d/1SX6NBoVAgQJ6U1MVXOaj8PK2l7WJ3RER9xtqwdhxkhw/edit?usp=sharing"",""นครนายก!I426"")"),0)</f>
        <v>0</v>
      </c>
      <c r="J531" s="198">
        <f ca="1">IFERROR(__xludf.DUMMYFUNCTION("IMPORTRANGE(""https://docs.google.com/spreadsheets/d/1SX6NBoVAgQJ6U1MVXOaj8PK2l7WJ3RER9xtqwdhxkhw/edit?usp=sharing"",""นครนายก!J426"")"),0)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IFERROR(__xludf.DUMMYFUNCTION("IMPORTRANGE(""https://docs.google.com/spreadsheets/d/1SX6NBoVAgQJ6U1MVXOaj8PK2l7WJ3RER9xtqwdhxkhw/edit?usp=sharing"",""นครนายก!M428"")"),20370)</f>
        <v>20370</v>
      </c>
      <c r="O533" s="412">
        <f t="shared" ref="O533:O537" ca="1" si="118">+IF(L533&gt;0,N533*100/L533,0)</f>
        <v>59.318578916715204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IFERROR(__xludf.DUMMYFUNCTION("IMPORTRANGE(""https://docs.google.com/spreadsheets/d/1SX6NBoVAgQJ6U1MVXOaj8PK2l7WJ3RER9xtqwdhxkhw/edit?usp=sharing"",""นครนายก!L429"")"),0)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IFERROR(__xludf.DUMMYFUNCTION("IMPORTRANGE(""https://docs.google.com/spreadsheets/d/1SX6NBoVAgQJ6U1MVXOaj8PK2l7WJ3RER9xtqwdhxkhw/edit?usp=sharing"",""นครนายก!M429"")"),0)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IFERROR(__xludf.DUMMYFUNCTION("IMPORTRANGE(""https://docs.google.com/spreadsheets/d/1SX6NBoVAgQJ6U1MVXOaj8PK2l7WJ3RER9xtqwdhxkhw/edit?usp=sharing"",""นครนายก!L430"")"),34340)</f>
        <v>34340</v>
      </c>
      <c r="M535" s="165"/>
      <c r="N535" s="169">
        <f ca="1">IFERROR(__xludf.DUMMYFUNCTION("IMPORTRANGE(""https://docs.google.com/spreadsheets/d/1SX6NBoVAgQJ6U1MVXOaj8PK2l7WJ3RER9xtqwdhxkhw/edit?usp=sharing"",""นครนายก!M430"")"),20370)</f>
        <v>20370</v>
      </c>
      <c r="O535" s="169">
        <f t="shared" ca="1" si="118"/>
        <v>59.318578916715204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IFERROR(__xludf.DUMMYFUNCTION("IMPORTRANGE(""https://docs.google.com/spreadsheets/d/1SX6NBoVAgQJ6U1MVXOaj8PK2l7WJ3RER9xtqwdhxkhw/edit?usp=sharing"",""นครนายก!L431"")"),0)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IFERROR(__xludf.DUMMYFUNCTION("IMPORTRANGE(""https://docs.google.com/spreadsheets/d/1SX6NBoVAgQJ6U1MVXOaj8PK2l7WJ3RER9xtqwdhxkhw/edit?usp=sharing"",""นครนายก!M431"")"),0)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IFERROR(__xludf.DUMMYFUNCTION("IMPORTRANGE(""https://docs.google.com/spreadsheets/d/1SX6NBoVAgQJ6U1MVXOaj8PK2l7WJ3RER9xtqwdhxkhw/edit?usp=sharing"",""นครนายก!L432"")"),34340)</f>
        <v>34340</v>
      </c>
      <c r="M537" s="169"/>
      <c r="N537" s="169">
        <f ca="1">IFERROR(__xludf.DUMMYFUNCTION("IMPORTRANGE(""https://docs.google.com/spreadsheets/d/1SX6NBoVAgQJ6U1MVXOaj8PK2l7WJ3RER9xtqwdhxkhw/edit?usp=sharing"",""นครนายก!M432"")"),20370)</f>
        <v>20370</v>
      </c>
      <c r="O537" s="169">
        <f t="shared" ca="1" si="118"/>
        <v>59.318578916715204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IFERROR(__xludf.DUMMYFUNCTION("IMPORTRANGE(""https://docs.google.com/spreadsheets/d/1SX6NBoVAgQJ6U1MVXOaj8PK2l7WJ3RER9xtqwdhxkhw/edit?usp=sharing"",""นครนายก!M433"")"),11410)</f>
        <v>11410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IFERROR(__xludf.DUMMYFUNCTION("IMPORTRANGE(""https://docs.google.com/spreadsheets/d/1SX6NBoVAgQJ6U1MVXOaj8PK2l7WJ3RER9xtqwdhxkhw/edit?usp=sharing"",""นครนายก!M436"")"),8960)</f>
        <v>8960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IFERROR(__xludf.DUMMYFUNCTION("IMPORTRANGE(""https://docs.google.com/spreadsheets/d/1SX6NBoVAgQJ6U1MVXOaj8PK2l7WJ3RER9xtqwdhxkhw/edit?usp=sharing"",""นครนายก!J438"")"),0)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IFERROR(__xludf.DUMMYFUNCTION("IMPORTRANGE(""https://docs.google.com/spreadsheets/d/1SX6NBoVAgQJ6U1MVXOaj8PK2l7WJ3RER9xtqwdhxkhw/edit?usp=sharing"",""นครนายก!J439"")"),1)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IFERROR(__xludf.DUMMYFUNCTION("IMPORTRANGE(""https://docs.google.com/spreadsheets/d/1SX6NBoVAgQJ6U1MVXOaj8PK2l7WJ3RER9xtqwdhxkhw/edit?usp=sharing"",""นครนายก!J440"")"),1)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IFERROR(__xludf.DUMMYFUNCTION("IMPORTRANGE(""https://docs.google.com/spreadsheets/d/1SX6NBoVAgQJ6U1MVXOaj8PK2l7WJ3RER9xtqwdhxkhw/edit?usp=sharing"",""นครนายก!J441"")"),1)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IFERROR(__xludf.DUMMYFUNCTION("IMPORTRANGE(""https://docs.google.com/spreadsheets/d/1SX6NBoVAgQJ6U1MVXOaj8PK2l7WJ3RER9xtqwdhxkhw/edit?usp=sharing"",""นครนายก!I442"")"),22)</f>
        <v>22</v>
      </c>
      <c r="J547" s="189">
        <f ca="1">IFERROR(__xludf.DUMMYFUNCTION("IMPORTRANGE(""https://docs.google.com/spreadsheets/d/1SX6NBoVAgQJ6U1MVXOaj8PK2l7WJ3RER9xtqwdhxkhw/edit?usp=sharing"",""นครนายก!J442"")"),22)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IFERROR(__xludf.DUMMYFUNCTION("IMPORTRANGE(""https://docs.google.com/spreadsheets/d/1SX6NBoVAgQJ6U1MVXOaj8PK2l7WJ3RER9xtqwdhxkhw/edit?usp=sharing"",""นครนายก!J166"")"),0)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IFERROR(__xludf.DUMMYFUNCTION("IMPORTRANGE(""https://docs.google.com/spreadsheets/d/1SX6NBoVAgQJ6U1MVXOaj8PK2l7WJ3RER9xtqwdhxkhw/edit?usp=sharing"",""นครนายก!J444"")"),0)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IFERROR(__xludf.DUMMYFUNCTION("IMPORTRANGE(""https://docs.google.com/spreadsheets/d/1SX6NBoVAgQJ6U1MVXOaj8PK2l7WJ3RER9xtqwdhxkhw/edit?usp=sharing"",""นครนายก!L447"")"),0)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IFERROR(__xludf.DUMMYFUNCTION("IMPORTRANGE(""https://docs.google.com/spreadsheets/d/1SX6NBoVAgQJ6U1MVXOaj8PK2l7WJ3RER9xtqwdhxkhw/edit?usp=sharing"",""นครนายก!M447"")"),0)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IFERROR(__xludf.DUMMYFUNCTION("IMPORTRANGE(""https://docs.google.com/spreadsheets/d/1SX6NBoVAgQJ6U1MVXOaj8PK2l7WJ3RER9xtqwdhxkhw/edit?usp=sharing"",""นครนายก!L448"")"),0)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IFERROR(__xludf.DUMMYFUNCTION("IMPORTRANGE(""https://docs.google.com/spreadsheets/d/1SX6NBoVAgQJ6U1MVXOaj8PK2l7WJ3RER9xtqwdhxkhw/edit?usp=sharing"",""นครนายก!M448"")"),0)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IFERROR(__xludf.DUMMYFUNCTION("IMPORTRANGE(""https://docs.google.com/spreadsheets/d/1SX6NBoVAgQJ6U1MVXOaj8PK2l7WJ3RER9xtqwdhxkhw/edit?usp=sharing"",""นครนายก!L449"")"),0)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IFERROR(__xludf.DUMMYFUNCTION("IMPORTRANGE(""https://docs.google.com/spreadsheets/d/1SX6NBoVAgQJ6U1MVXOaj8PK2l7WJ3RER9xtqwdhxkhw/edit?usp=sharing"",""นครนายก!M449"")"),0)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IFERROR(__xludf.DUMMYFUNCTION("IMPORTRANGE(""https://docs.google.com/spreadsheets/d/1SX6NBoVAgQJ6U1MVXOaj8PK2l7WJ3RER9xtqwdhxkhw/edit?usp=sharing"",""นครนายก!L450"")"),0)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IFERROR(__xludf.DUMMYFUNCTION("IMPORTRANGE(""https://docs.google.com/spreadsheets/d/1SX6NBoVAgQJ6U1MVXOaj8PK2l7WJ3RER9xtqwdhxkhw/edit?usp=sharing"",""นครนายก!M450"")"),0)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IFERROR(__xludf.DUMMYFUNCTION("IMPORTRANGE(""https://docs.google.com/spreadsheets/d/1SX6NBoVAgQJ6U1MVXOaj8PK2l7WJ3RER9xtqwdhxkhw/edit?usp=sharing"",""นครนายก!M451"")"),0)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IFERROR(__xludf.DUMMYFUNCTION("IMPORTRANGE(""https://docs.google.com/spreadsheets/d/1SX6NBoVAgQJ6U1MVXOaj8PK2l7WJ3RER9xtqwdhxkhw/edit?usp=sharing"",""นครนายก!M452"")"),0)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IFERROR(__xludf.DUMMYFUNCTION("IMPORTRANGE(""https://docs.google.com/spreadsheets/d/1SX6NBoVAgQJ6U1MVXOaj8PK2l7WJ3RER9xtqwdhxkhw/edit?usp=sharing"",""นครนายก!M453"")"),0)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IFERROR(__xludf.DUMMYFUNCTION("IMPORTRANGE(""https://docs.google.com/spreadsheets/d/1SX6NBoVAgQJ6U1MVXOaj8PK2l7WJ3RER9xtqwdhxkhw/edit?usp=sharing"",""นครนายก!M454"")"),0)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IFERROR(__xludf.DUMMYFUNCTION("IMPORTRANGE(""https://docs.google.com/spreadsheets/d/1SX6NBoVAgQJ6U1MVXOaj8PK2l7WJ3RER9xtqwdhxkhw/edit?usp=sharing"",""นครนายก!I455"")"),0)</f>
        <v>0</v>
      </c>
      <c r="J560" s="162">
        <f ca="1">IFERROR(__xludf.DUMMYFUNCTION("IMPORTRANGE(""https://docs.google.com/spreadsheets/d/1SX6NBoVAgQJ6U1MVXOaj8PK2l7WJ3RER9xtqwdhxkhw/edit?usp=sharing"",""นครนายก!J455"")"),0)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IFERROR(__xludf.DUMMYFUNCTION("IMPORTRANGE(""https://docs.google.com/spreadsheets/d/1SX6NBoVAgQJ6U1MVXOaj8PK2l7WJ3RER9xtqwdhxkhw/edit?usp=sharing"",""นครนายก!I456"")"),0)</f>
        <v>0</v>
      </c>
      <c r="J561" s="204">
        <f ca="1">IFERROR(__xludf.DUMMYFUNCTION("IMPORTRANGE(""https://docs.google.com/spreadsheets/d/1SX6NBoVAgQJ6U1MVXOaj8PK2l7WJ3RER9xtqwdhxkhw/edit?usp=sharing"",""นครนายก!J456"")"),0)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IFERROR(__xludf.DUMMYFUNCTION("IMPORTRANGE(""https://docs.google.com/spreadsheets/d/1SX6NBoVAgQJ6U1MVXOaj8PK2l7WJ3RER9xtqwdhxkhw/edit?usp=sharing"",""นครนายก!J459"")"),903)</f>
        <v>903</v>
      </c>
      <c r="K564" s="372">
        <f ca="1">IF(I564&gt;0,J564*100/I564,0)</f>
        <v>602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IFERROR(__xludf.DUMMYFUNCTION("IMPORTRANGE(""https://docs.google.com/spreadsheets/d/1SX6NBoVAgQJ6U1MVXOaj8PK2l7WJ3RER9xtqwdhxkhw/edit?usp=sharing"",""นครนายก!M459"")"),37080)</f>
        <v>37080</v>
      </c>
      <c r="O564" s="373">
        <f t="shared" ref="O564:O568" ca="1" si="122">+IF(L564&gt;0,N564*100/L564,0)</f>
        <v>31.024096385542169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IFERROR(__xludf.DUMMYFUNCTION("IMPORTRANGE(""https://docs.google.com/spreadsheets/d/1SX6NBoVAgQJ6U1MVXOaj8PK2l7WJ3RER9xtqwdhxkhw/edit?usp=sharing"",""นครนายก!L460"")"),0)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IFERROR(__xludf.DUMMYFUNCTION("IMPORTRANGE(""https://docs.google.com/spreadsheets/d/1SX6NBoVAgQJ6U1MVXOaj8PK2l7WJ3RER9xtqwdhxkhw/edit?usp=sharing"",""นครนายก!M460"")"),0)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IFERROR(__xludf.DUMMYFUNCTION("IMPORTRANGE(""https://docs.google.com/spreadsheets/d/1SX6NBoVAgQJ6U1MVXOaj8PK2l7WJ3RER9xtqwdhxkhw/edit?usp=sharing"",""นครนายก!L461"")"),119520)</f>
        <v>119520</v>
      </c>
      <c r="M566" s="165"/>
      <c r="N566" s="169">
        <f ca="1">IFERROR(__xludf.DUMMYFUNCTION("IMPORTRANGE(""https://docs.google.com/spreadsheets/d/1SX6NBoVAgQJ6U1MVXOaj8PK2l7WJ3RER9xtqwdhxkhw/edit?usp=sharing"",""นครนายก!M461"")"),37080)</f>
        <v>37080</v>
      </c>
      <c r="O566" s="169">
        <f t="shared" ca="1" si="122"/>
        <v>31.024096385542169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IFERROR(__xludf.DUMMYFUNCTION("IMPORTRANGE(""https://docs.google.com/spreadsheets/d/1SX6NBoVAgQJ6U1MVXOaj8PK2l7WJ3RER9xtqwdhxkhw/edit?usp=sharing"",""นครนายก!L462"")"),0)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IFERROR(__xludf.DUMMYFUNCTION("IMPORTRANGE(""https://docs.google.com/spreadsheets/d/1SX6NBoVAgQJ6U1MVXOaj8PK2l7WJ3RER9xtqwdhxkhw/edit?usp=sharing"",""นครนายก!M462"")"),0)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IFERROR(__xludf.DUMMYFUNCTION("IMPORTRANGE(""https://docs.google.com/spreadsheets/d/1SX6NBoVAgQJ6U1MVXOaj8PK2l7WJ3RER9xtqwdhxkhw/edit?usp=sharing"",""นครนายก!L463"")"),119520)</f>
        <v>119520</v>
      </c>
      <c r="M568" s="169"/>
      <c r="N568" s="169">
        <f ca="1">IFERROR(__xludf.DUMMYFUNCTION("IMPORTRANGE(""https://docs.google.com/spreadsheets/d/1SX6NBoVAgQJ6U1MVXOaj8PK2l7WJ3RER9xtqwdhxkhw/edit?usp=sharing"",""นครนายก!M463"")"),37080)</f>
        <v>37080</v>
      </c>
      <c r="O568" s="169">
        <f t="shared" ca="1" si="122"/>
        <v>31.024096385542169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IFERROR(__xludf.DUMMYFUNCTION("IMPORTRANGE(""https://docs.google.com/spreadsheets/d/1SX6NBoVAgQJ6U1MVXOaj8PK2l7WJ3RER9xtqwdhxkhw/edit?usp=sharing"",""นครนายก!M464"")"),0)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IFERROR(__xludf.DUMMYFUNCTION("IMPORTRANGE(""https://docs.google.com/spreadsheets/d/1SX6NBoVAgQJ6U1MVXOaj8PK2l7WJ3RER9xtqwdhxkhw/edit?usp=sharing"",""นครนายก!M465"")"),0)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IFERROR(__xludf.DUMMYFUNCTION("IMPORTRANGE(""https://docs.google.com/spreadsheets/d/1SX6NBoVAgQJ6U1MVXOaj8PK2l7WJ3RER9xtqwdhxkhw/edit?usp=sharing"",""นครนายก!M466"")"),33000)</f>
        <v>33000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IFERROR(__xludf.DUMMYFUNCTION("IMPORTRANGE(""https://docs.google.com/spreadsheets/d/1SX6NBoVAgQJ6U1MVXOaj8PK2l7WJ3RER9xtqwdhxkhw/edit?usp=sharing"",""นครนายก!M467"")"),4080)</f>
        <v>4080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IFERROR(__xludf.DUMMYFUNCTION("IMPORTRANGE(""https://docs.google.com/spreadsheets/d/1SX6NBoVAgQJ6U1MVXOaj8PK2l7WJ3RER9xtqwdhxkhw/edit?usp=sharing"",""นครนายก!J468"")"),903)</f>
        <v>903</v>
      </c>
      <c r="K573" s="202">
        <f ca="1">IF(I573&gt;0,J573*100/I573,0)</f>
        <v>602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IFERROR(__xludf.DUMMYFUNCTION("IMPORTRANGE(""https://docs.google.com/spreadsheets/d/1SX6NBoVAgQJ6U1MVXOaj8PK2l7WJ3RER9xtqwdhxkhw/edit?usp=sharing"",""นครนายก!I470"")"),0)</f>
        <v>0</v>
      </c>
      <c r="J575" s="198">
        <f ca="1">IFERROR(__xludf.DUMMYFUNCTION("IMPORTRANGE(""https://docs.google.com/spreadsheets/d/1SX6NBoVAgQJ6U1MVXOaj8PK2l7WJ3RER9xtqwdhxkhw/edit?usp=sharing"",""นครนายก!J470"")"),4)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IFERROR(__xludf.DUMMYFUNCTION("IMPORTRANGE(""https://docs.google.com/spreadsheets/d/1SX6NBoVAgQJ6U1MVXOaj8PK2l7WJ3RER9xtqwdhxkhw/edit?usp=sharing"",""นครนายก!I471"")"),0)</f>
        <v>0</v>
      </c>
      <c r="J576" s="198">
        <f ca="1">IFERROR(__xludf.DUMMYFUNCTION("IMPORTRANGE(""https://docs.google.com/spreadsheets/d/1SX6NBoVAgQJ6U1MVXOaj8PK2l7WJ3RER9xtqwdhxkhw/edit?usp=sharing"",""นครนายก!J471"")"),109)</f>
        <v>109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IFERROR(__xludf.DUMMYFUNCTION("IMPORTRANGE(""https://docs.google.com/spreadsheets/d/1SX6NBoVAgQJ6U1MVXOaj8PK2l7WJ3RER9xtqwdhxkhw/edit?usp=sharing"",""นครนายก!I472"")"),0)</f>
        <v>0</v>
      </c>
      <c r="J577" s="189">
        <f ca="1">IFERROR(__xludf.DUMMYFUNCTION("IMPORTRANGE(""https://docs.google.com/spreadsheets/d/1SX6NBoVAgQJ6U1MVXOaj8PK2l7WJ3RER9xtqwdhxkhw/edit?usp=sharing"",""นครนายก!J472"")"),794)</f>
        <v>794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IFERROR(__xludf.DUMMYFUNCTION("IMPORTRANGE(""https://docs.google.com/spreadsheets/d/1SX6NBoVAgQJ6U1MVXOaj8PK2l7WJ3RER9xtqwdhxkhw/edit?usp=sharing"",""นครนายก!I473"")"),0)</f>
        <v>0</v>
      </c>
      <c r="J578" s="198">
        <f ca="1">IFERROR(__xludf.DUMMYFUNCTION("IMPORTRANGE(""https://docs.google.com/spreadsheets/d/1SX6NBoVAgQJ6U1MVXOaj8PK2l7WJ3RER9xtqwdhxkhw/edit?usp=sharing"",""นครนายก!J473"")"),0)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IFERROR(__xludf.DUMMYFUNCTION("IMPORTRANGE(""https://docs.google.com/spreadsheets/d/1SX6NBoVAgQJ6U1MVXOaj8PK2l7WJ3RER9xtqwdhxkhw/edit?usp=sharing"",""นครนายก!I474"")"),0)</f>
        <v>0</v>
      </c>
      <c r="J579" s="198">
        <f ca="1">IFERROR(__xludf.DUMMYFUNCTION("IMPORTRANGE(""https://docs.google.com/spreadsheets/d/1SX6NBoVAgQJ6U1MVXOaj8PK2l7WJ3RER9xtqwdhxkhw/edit?usp=sharing"",""นครนายก!J474"")"),0)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IFERROR(__xludf.DUMMYFUNCTION("IMPORTRANGE(""https://docs.google.com/spreadsheets/d/1SX6NBoVAgQJ6U1MVXOaj8PK2l7WJ3RER9xtqwdhxkhw/edit?usp=sharing"",""นครนายก!L476"")"),0)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IFERROR(__xludf.DUMMYFUNCTION("IMPORTRANGE(""https://docs.google.com/spreadsheets/d/1SX6NBoVAgQJ6U1MVXOaj8PK2l7WJ3RER9xtqwdhxkhw/edit?usp=sharing"",""นครนายก!M476"")"),0)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IFERROR(__xludf.DUMMYFUNCTION("IMPORTRANGE(""https://docs.google.com/spreadsheets/d/1SX6NBoVAgQJ6U1MVXOaj8PK2l7WJ3RER9xtqwdhxkhw/edit?usp=sharing"",""นครนายก!L477"")"),0)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IFERROR(__xludf.DUMMYFUNCTION("IMPORTRANGE(""https://docs.google.com/spreadsheets/d/1SX6NBoVAgQJ6U1MVXOaj8PK2l7WJ3RER9xtqwdhxkhw/edit?usp=sharing"",""นครนายก!M477"")"),0)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IFERROR(__xludf.DUMMYFUNCTION("IMPORTRANGE(""https://docs.google.com/spreadsheets/d/1SX6NBoVAgQJ6U1MVXOaj8PK2l7WJ3RER9xtqwdhxkhw/edit?usp=sharing"",""นครนายก!L478"")"),0)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IFERROR(__xludf.DUMMYFUNCTION("IMPORTRANGE(""https://docs.google.com/spreadsheets/d/1SX6NBoVAgQJ6U1MVXOaj8PK2l7WJ3RER9xtqwdhxkhw/edit?usp=sharing"",""นครนายก!M478"")"),0)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IFERROR(__xludf.DUMMYFUNCTION("IMPORTRANGE(""https://docs.google.com/spreadsheets/d/1SX6NBoVAgQJ6U1MVXOaj8PK2l7WJ3RER9xtqwdhxkhw/edit?usp=sharing"",""นครนายก!L479"")"),0)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IFERROR(__xludf.DUMMYFUNCTION("IMPORTRANGE(""https://docs.google.com/spreadsheets/d/1SX6NBoVAgQJ6U1MVXOaj8PK2l7WJ3RER9xtqwdhxkhw/edit?usp=sharing"",""นครนายก!M479"")"),0)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IFERROR(__xludf.DUMMYFUNCTION("IMPORTRANGE(""https://docs.google.com/spreadsheets/d/1SX6NBoVAgQJ6U1MVXOaj8PK2l7WJ3RER9xtqwdhxkhw/edit?usp=sharing"",""นครนายก!M480"")"),0)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IFERROR(__xludf.DUMMYFUNCTION("IMPORTRANGE(""https://docs.google.com/spreadsheets/d/1SX6NBoVAgQJ6U1MVXOaj8PK2l7WJ3RER9xtqwdhxkhw/edit?usp=sharing"",""นครนายก!M481"")"),0)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IFERROR(__xludf.DUMMYFUNCTION("IMPORTRANGE(""https://docs.google.com/spreadsheets/d/1SX6NBoVAgQJ6U1MVXOaj8PK2l7WJ3RER9xtqwdhxkhw/edit?usp=sharing"",""นครนายก!M482"")"),0)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IFERROR(__xludf.DUMMYFUNCTION("IMPORTRANGE(""https://docs.google.com/spreadsheets/d/1SX6NBoVAgQJ6U1MVXOaj8PK2l7WJ3RER9xtqwdhxkhw/edit?usp=sharing"",""นครนายก!M483"")"),0)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IFERROR(__xludf.DUMMYFUNCTION("IMPORTRANGE(""https://docs.google.com/spreadsheets/d/1SX6NBoVAgQJ6U1MVXOaj8PK2l7WJ3RER9xtqwdhxkhw/edit?usp=sharing"",""นครนายก!I484"")"),0)</f>
        <v>0</v>
      </c>
      <c r="J589" s="188">
        <f ca="1">IFERROR(__xludf.DUMMYFUNCTION("IMPORTRANGE(""https://docs.google.com/spreadsheets/d/1SX6NBoVAgQJ6U1MVXOaj8PK2l7WJ3RER9xtqwdhxkhw/edit?usp=sharing"",""นครนายก!J484"")"),0)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8">
        <f ca="1">IFERROR(__xludf.DUMMYFUNCTION("IMPORTRANGE(""https://docs.google.com/spreadsheets/d/1SX6NBoVAgQJ6U1MVXOaj8PK2l7WJ3RER9xtqwdhxkhw/edit?usp=sharing"",""นครนายก!J485"")"),0)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IFERROR(__xludf.DUMMYFUNCTION("IMPORTRANGE(""https://docs.google.com/spreadsheets/d/1SX6NBoVAgQJ6U1MVXOaj8PK2l7WJ3RER9xtqwdhxkhw/edit?usp=sharing"",""นครนายก!I486"")"),0)</f>
        <v>0</v>
      </c>
      <c r="J591" s="188">
        <f ca="1">IFERROR(__xludf.DUMMYFUNCTION("IMPORTRANGE(""https://docs.google.com/spreadsheets/d/1SX6NBoVAgQJ6U1MVXOaj8PK2l7WJ3RER9xtqwdhxkhw/edit?usp=sharing"",""นครนายก!J486"")"),0)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8">
        <f ca="1">IFERROR(__xludf.DUMMYFUNCTION("IMPORTRANGE(""https://docs.google.com/spreadsheets/d/1SX6NBoVAgQJ6U1MVXOaj8PK2l7WJ3RER9xtqwdhxkhw/edit?usp=sharing"",""นครนายก!J487"")"),0)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IFERROR(__xludf.DUMMYFUNCTION("IMPORTRANGE(""https://docs.google.com/spreadsheets/d/1SX6NBoVAgQJ6U1MVXOaj8PK2l7WJ3RER9xtqwdhxkhw/edit?usp=sharing"",""นครนายก!I488"")"),0)</f>
        <v>0</v>
      </c>
      <c r="J593" s="188">
        <f ca="1">IFERROR(__xludf.DUMMYFUNCTION("IMPORTRANGE(""https://docs.google.com/spreadsheets/d/1SX6NBoVAgQJ6U1MVXOaj8PK2l7WJ3RER9xtqwdhxkhw/edit?usp=sharing"",""นครนายก!J488"")"),0)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8">
        <f ca="1">IFERROR(__xludf.DUMMYFUNCTION("IMPORTRANGE(""https://docs.google.com/spreadsheets/d/1SX6NBoVAgQJ6U1MVXOaj8PK2l7WJ3RER9xtqwdhxkhw/edit?usp=sharing"",""นครนายก!J489"")"),0)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IFERROR(__xludf.DUMMYFUNCTION("IMPORTRANGE(""https://docs.google.com/spreadsheets/d/1SX6NBoVAgQJ6U1MVXOaj8PK2l7WJ3RER9xtqwdhxkhw/edit?usp=sharing"",""นครนายก!I490"")"),0)</f>
        <v>0</v>
      </c>
      <c r="J595" s="188">
        <f ca="1">IFERROR(__xludf.DUMMYFUNCTION("IMPORTRANGE(""https://docs.google.com/spreadsheets/d/1SX6NBoVAgQJ6U1MVXOaj8PK2l7WJ3RER9xtqwdhxkhw/edit?usp=sharing"",""นครนายก!J490"")"),0)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IFERROR(__xludf.DUMMYFUNCTION("IMPORTRANGE(""https://docs.google.com/spreadsheets/d/1SX6NBoVAgQJ6U1MVXOaj8PK2l7WJ3RER9xtqwdhxkhw/edit?usp=sharing"",""นครนายก!I491"")"),0)</f>
        <v>0</v>
      </c>
      <c r="J596" s="242">
        <f ca="1">IFERROR(__xludf.DUMMYFUNCTION("IMPORTRANGE(""https://docs.google.com/spreadsheets/d/1SX6NBoVAgQJ6U1MVXOaj8PK2l7WJ3RER9xtqwdhxkhw/edit?usp=sharing"",""นครนายก!J491"")"),0)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7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IFERROR(__xludf.DUMMYFUNCTION("IMPORTRANGE(""https://docs.google.com/spreadsheets/d/1SX6NBoVAgQJ6U1MVXOaj8PK2l7WJ3RER9xtqwdhxkhw/edit?usp=sharing"",""นครนายก!L492"")"),6950)</f>
        <v>6950</v>
      </c>
      <c r="M597" s="412"/>
      <c r="N597" s="412">
        <f ca="1">IFERROR(__xludf.DUMMYFUNCTION("IMPORTRANGE(""https://docs.google.com/spreadsheets/d/1SX6NBoVAgQJ6U1MVXOaj8PK2l7WJ3RER9xtqwdhxkhw/edit?usp=sharing"",""นครนายก!M492"")"),0)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IFERROR(__xludf.DUMMYFUNCTION("IMPORTRANGE(""https://docs.google.com/spreadsheets/d/1SX6NBoVAgQJ6U1MVXOaj8PK2l7WJ3RER9xtqwdhxkhw/edit?usp=sharing"",""นครนายก!L493"")"),0)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IFERROR(__xludf.DUMMYFUNCTION("IMPORTRANGE(""https://docs.google.com/spreadsheets/d/1SX6NBoVAgQJ6U1MVXOaj8PK2l7WJ3RER9xtqwdhxkhw/edit?usp=sharing"",""นครนายก!M493"")"),0)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IFERROR(__xludf.DUMMYFUNCTION("IMPORTRANGE(""https://docs.google.com/spreadsheets/d/1SX6NBoVAgQJ6U1MVXOaj8PK2l7WJ3RER9xtqwdhxkhw/edit?usp=sharing"",""นครนายก!L494"")"),6950)</f>
        <v>6950</v>
      </c>
      <c r="M599" s="165"/>
      <c r="N599" s="169">
        <f ca="1">IFERROR(__xludf.DUMMYFUNCTION("IMPORTRANGE(""https://docs.google.com/spreadsheets/d/1SX6NBoVAgQJ6U1MVXOaj8PK2l7WJ3RER9xtqwdhxkhw/edit?usp=sharing"",""นครนายก!M494"")"),0)</f>
        <v>0</v>
      </c>
      <c r="O599" s="169">
        <f t="shared" ca="1" si="126"/>
        <v>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IFERROR(__xludf.DUMMYFUNCTION("IMPORTRANGE(""https://docs.google.com/spreadsheets/d/1SX6NBoVAgQJ6U1MVXOaj8PK2l7WJ3RER9xtqwdhxkhw/edit?usp=sharing"",""นครนายก!L495"")"),0)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IFERROR(__xludf.DUMMYFUNCTION("IMPORTRANGE(""https://docs.google.com/spreadsheets/d/1SX6NBoVAgQJ6U1MVXOaj8PK2l7WJ3RER9xtqwdhxkhw/edit?usp=sharing"",""นครนายก!M495"")"),0)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IFERROR(__xludf.DUMMYFUNCTION("IMPORTRANGE(""https://docs.google.com/spreadsheets/d/1SX6NBoVAgQJ6U1MVXOaj8PK2l7WJ3RER9xtqwdhxkhw/edit?usp=sharing"",""นครนายก!L496"")"),6950)</f>
        <v>6950</v>
      </c>
      <c r="M601" s="169"/>
      <c r="N601" s="169">
        <f ca="1">IFERROR(__xludf.DUMMYFUNCTION("IMPORTRANGE(""https://docs.google.com/spreadsheets/d/1SX6NBoVAgQJ6U1MVXOaj8PK2l7WJ3RER9xtqwdhxkhw/edit?usp=sharing"",""นครนายก!M496"")"),0)</f>
        <v>0</v>
      </c>
      <c r="O601" s="169">
        <f t="shared" ca="1" si="126"/>
        <v>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IFERROR(__xludf.DUMMYFUNCTION("IMPORTRANGE(""https://docs.google.com/spreadsheets/d/1SX6NBoVAgQJ6U1MVXOaj8PK2l7WJ3RER9xtqwdhxkhw/edit?usp=sharing"",""นครนายก!M497"")"),0)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IFERROR(__xludf.DUMMYFUNCTION("IMPORTRANGE(""https://docs.google.com/spreadsheets/d/1SX6NBoVAgQJ6U1MVXOaj8PK2l7WJ3RER9xtqwdhxkhw/edit?usp=sharing"",""นครนายก!M498"")"),0)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IFERROR(__xludf.DUMMYFUNCTION("IMPORTRANGE(""https://docs.google.com/spreadsheets/d/1SX6NBoVAgQJ6U1MVXOaj8PK2l7WJ3RER9xtqwdhxkhw/edit?usp=sharing"",""นครนายก!M500"")"),0)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IFERROR(__xludf.DUMMYFUNCTION("IMPORTRANGE(""https://docs.google.com/spreadsheets/d/1SX6NBoVAgQJ6U1MVXOaj8PK2l7WJ3RER9xtqwdhxkhw/edit?usp=sharing"",""นครนายก!J502"")"),0)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IFERROR(__xludf.DUMMYFUNCTION("IMPORTRANGE(""https://docs.google.com/spreadsheets/d/1SX6NBoVAgQJ6U1MVXOaj8PK2l7WJ3RER9xtqwdhxkhw/edit?usp=sharing"",""นครนายก!J503"")"),0)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IFERROR(__xludf.DUMMYFUNCTION("IMPORTRANGE(""https://docs.google.com/spreadsheets/d/1SX6NBoVAgQJ6U1MVXOaj8PK2l7WJ3RER9xtqwdhxkhw/edit?usp=sharing"",""นครนายก!J166"")"),0)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IFERROR(__xludf.DUMMYFUNCTION("IMPORTRANGE(""https://docs.google.com/spreadsheets/d/1SX6NBoVAgQJ6U1MVXOaj8PK2l7WJ3RER9xtqwdhxkhw/edit?usp=sharing"",""นครนายก!J166"")"),0)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IFERROR(__xludf.DUMMYFUNCTION("IMPORTRANGE(""https://docs.google.com/spreadsheets/d/1SX6NBoVAgQJ6U1MVXOaj8PK2l7WJ3RER9xtqwdhxkhw/edit?usp=sharing"",""นครนายก!I506"")"),50)</f>
        <v>50</v>
      </c>
      <c r="J611" s="162">
        <f ca="1">IFERROR(__xludf.DUMMYFUNCTION("IMPORTRANGE(""https://docs.google.com/spreadsheets/d/1SX6NBoVAgQJ6U1MVXOaj8PK2l7WJ3RER9xtqwdhxkhw/edit?usp=sharing"",""นครนายก!J506"")"),0)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IFERROR(__xludf.DUMMYFUNCTION("IMPORTRANGE(""https://docs.google.com/spreadsheets/d/1SX6NBoVAgQJ6U1MVXOaj8PK2l7WJ3RER9xtqwdhxkhw/edit?usp=sharing"",""นครนายก!I507"")"),0)</f>
        <v>0</v>
      </c>
      <c r="J612" s="198">
        <f ca="1">IFERROR(__xludf.DUMMYFUNCTION("IMPORTRANGE(""https://docs.google.com/spreadsheets/d/1SX6NBoVAgQJ6U1MVXOaj8PK2l7WJ3RER9xtqwdhxkhw/edit?usp=sharing"",""นครนายก!J507"")"),0)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IFERROR(__xludf.DUMMYFUNCTION("IMPORTRANGE(""https://docs.google.com/spreadsheets/d/1SX6NBoVAgQJ6U1MVXOaj8PK2l7WJ3RER9xtqwdhxkhw/edit?usp=sharing"",""นครนายก!I508"")"),0)</f>
        <v>0</v>
      </c>
      <c r="J613" s="198">
        <f ca="1">IFERROR(__xludf.DUMMYFUNCTION("IMPORTRANGE(""https://docs.google.com/spreadsheets/d/1SX6NBoVAgQJ6U1MVXOaj8PK2l7WJ3RER9xtqwdhxkhw/edit?usp=sharing"",""นครนายก!J508"")"),0)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IFERROR(__xludf.DUMMYFUNCTION("IMPORTRANGE(""https://docs.google.com/spreadsheets/d/1SX6NBoVAgQJ6U1MVXOaj8PK2l7WJ3RER9xtqwdhxkhw/edit?usp=sharing"",""นครนายก!I509"")"),0)</f>
        <v>0</v>
      </c>
      <c r="J614" s="198">
        <f ca="1">IFERROR(__xludf.DUMMYFUNCTION("IMPORTRANGE(""https://docs.google.com/spreadsheets/d/1SX6NBoVAgQJ6U1MVXOaj8PK2l7WJ3RER9xtqwdhxkhw/edit?usp=sharing"",""นครนายก!J509"")"),0)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IFERROR(__xludf.DUMMYFUNCTION("IMPORTRANGE(""https://docs.google.com/spreadsheets/d/1SX6NBoVAgQJ6U1MVXOaj8PK2l7WJ3RER9xtqwdhxkhw/edit?usp=sharing"",""นครนายก!I510"")"),0)</f>
        <v>0</v>
      </c>
      <c r="J615" s="198">
        <f ca="1">IFERROR(__xludf.DUMMYFUNCTION("IMPORTRANGE(""https://docs.google.com/spreadsheets/d/1SX6NBoVAgQJ6U1MVXOaj8PK2l7WJ3RER9xtqwdhxkhw/edit?usp=sharing"",""นครนายก!J510"")"),0)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IFERROR(__xludf.DUMMYFUNCTION("IMPORTRANGE(""https://docs.google.com/spreadsheets/d/1SX6NBoVAgQJ6U1MVXOaj8PK2l7WJ3RER9xtqwdhxkhw/edit?usp=sharing"",""นครนายก!I511"")"),0)</f>
        <v>0</v>
      </c>
      <c r="J616" s="198">
        <f ca="1">IFERROR(__xludf.DUMMYFUNCTION("IMPORTRANGE(""https://docs.google.com/spreadsheets/d/1SX6NBoVAgQJ6U1MVXOaj8PK2l7WJ3RER9xtqwdhxkhw/edit?usp=sharing"",""นครนายก!J511"")"),0)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IFERROR(__xludf.DUMMYFUNCTION("IMPORTRANGE(""https://docs.google.com/spreadsheets/d/1SX6NBoVAgQJ6U1MVXOaj8PK2l7WJ3RER9xtqwdhxkhw/edit?usp=sharing"",""นครนายก!I512"")"),0)</f>
        <v>0</v>
      </c>
      <c r="J617" s="188">
        <f ca="1">IFERROR(__xludf.DUMMYFUNCTION("IMPORTRANGE(""https://docs.google.com/spreadsheets/d/1SX6NBoVAgQJ6U1MVXOaj8PK2l7WJ3RER9xtqwdhxkhw/edit?usp=sharing"",""นครนายก!J512"")"),0)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IFERROR(__xludf.DUMMYFUNCTION("IMPORTRANGE(""https://docs.google.com/spreadsheets/d/1SX6NBoVAgQJ6U1MVXOaj8PK2l7WJ3RER9xtqwdhxkhw/edit?usp=sharing"",""นครนายก!I513"")"),0)</f>
        <v>0</v>
      </c>
      <c r="J618" s="189">
        <f ca="1">IFERROR(__xludf.DUMMYFUNCTION("IMPORTRANGE(""https://docs.google.com/spreadsheets/d/1SX6NBoVAgQJ6U1MVXOaj8PK2l7WJ3RER9xtqwdhxkhw/edit?usp=sharing"",""นครนายก!J513"")"),0)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IFERROR(__xludf.DUMMYFUNCTION("IMPORTRANGE(""https://docs.google.com/spreadsheets/d/1SX6NBoVAgQJ6U1MVXOaj8PK2l7WJ3RER9xtqwdhxkhw/edit?usp=sharing"",""นครนายก!I514"")"),0)</f>
        <v>0</v>
      </c>
      <c r="J619" s="189">
        <f ca="1">IFERROR(__xludf.DUMMYFUNCTION("IMPORTRANGE(""https://docs.google.com/spreadsheets/d/1SX6NBoVAgQJ6U1MVXOaj8PK2l7WJ3RER9xtqwdhxkhw/edit?usp=sharing"",""นครนายก!J514"")"),0)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IFERROR(__xludf.DUMMYFUNCTION("IMPORTRANGE(""https://docs.google.com/spreadsheets/d/1SX6NBoVAgQJ6U1MVXOaj8PK2l7WJ3RER9xtqwdhxkhw/edit?usp=sharing"",""นครนายก!I515"")"),0)</f>
        <v>0</v>
      </c>
      <c r="J620" s="203">
        <f ca="1">IFERROR(__xludf.DUMMYFUNCTION("IMPORTRANGE(""https://docs.google.com/spreadsheets/d/1SX6NBoVAgQJ6U1MVXOaj8PK2l7WJ3RER9xtqwdhxkhw/edit?usp=sharing"",""นครนายก!J515"")"),0)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IFERROR(__xludf.DUMMYFUNCTION("IMPORTRANGE(""https://docs.google.com/spreadsheets/d/1SX6NBoVAgQJ6U1MVXOaj8PK2l7WJ3RER9xtqwdhxkhw/edit?usp=sharing"",""นครนายก!I516"")"),0)</f>
        <v>0</v>
      </c>
      <c r="J621" s="203">
        <f ca="1">IFERROR(__xludf.DUMMYFUNCTION("IMPORTRANGE(""https://docs.google.com/spreadsheets/d/1SX6NBoVAgQJ6U1MVXOaj8PK2l7WJ3RER9xtqwdhxkhw/edit?usp=sharing"",""นครนายก!J516"")"),0)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IFERROR(__xludf.DUMMYFUNCTION("IMPORTRANGE(""https://docs.google.com/spreadsheets/d/1SX6NBoVAgQJ6U1MVXOaj8PK2l7WJ3RER9xtqwdhxkhw/edit?usp=sharing"",""นครนายก!I517"")"),0)</f>
        <v>0</v>
      </c>
      <c r="J622" s="189">
        <f ca="1">IFERROR(__xludf.DUMMYFUNCTION("IMPORTRANGE(""https://docs.google.com/spreadsheets/d/1SX6NBoVAgQJ6U1MVXOaj8PK2l7WJ3RER9xtqwdhxkhw/edit?usp=sharing"",""นครนายก!J517"")"),0)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IFERROR(__xludf.DUMMYFUNCTION("IMPORTRANGE(""https://docs.google.com/spreadsheets/d/1SX6NBoVAgQJ6U1MVXOaj8PK2l7WJ3RER9xtqwdhxkhw/edit?usp=sharing"",""นครนายก!I518"")"),0)</f>
        <v>0</v>
      </c>
      <c r="J623" s="189">
        <f ca="1">IFERROR(__xludf.DUMMYFUNCTION("IMPORTRANGE(""https://docs.google.com/spreadsheets/d/1SX6NBoVAgQJ6U1MVXOaj8PK2l7WJ3RER9xtqwdhxkhw/edit?usp=sharing"",""นครนายก!J518"")"),0)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IFERROR(__xludf.DUMMYFUNCTION("IMPORTRANGE(""https://docs.google.com/spreadsheets/d/1SX6NBoVAgQJ6U1MVXOaj8PK2l7WJ3RER9xtqwdhxkhw/edit?usp=sharing"",""นครนายก!I519"")"),0)</f>
        <v>0</v>
      </c>
      <c r="J624" s="188">
        <f ca="1">IFERROR(__xludf.DUMMYFUNCTION("IMPORTRANGE(""https://docs.google.com/spreadsheets/d/1SX6NBoVAgQJ6U1MVXOaj8PK2l7WJ3RER9xtqwdhxkhw/edit?usp=sharing"",""นครนายก!J519"")"),0)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IFERROR(__xludf.DUMMYFUNCTION("IMPORTRANGE(""https://docs.google.com/spreadsheets/d/1SX6NBoVAgQJ6U1MVXOaj8PK2l7WJ3RER9xtqwdhxkhw/edit?usp=sharing"",""นครนายก!I520"")"),0)</f>
        <v>0</v>
      </c>
      <c r="J625" s="189">
        <f ca="1">IFERROR(__xludf.DUMMYFUNCTION("IMPORTRANGE(""https://docs.google.com/spreadsheets/d/1SX6NBoVAgQJ6U1MVXOaj8PK2l7WJ3RER9xtqwdhxkhw/edit?usp=sharing"",""นครนายก!J520"")"),0)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IFERROR(__xludf.DUMMYFUNCTION("IMPORTRANGE(""https://docs.google.com/spreadsheets/d/1SX6NBoVAgQJ6U1MVXOaj8PK2l7WJ3RER9xtqwdhxkhw/edit?usp=sharing"",""นครนายก!I521"")"),0)</f>
        <v>0</v>
      </c>
      <c r="J626" s="189">
        <f ca="1">IFERROR(__xludf.DUMMYFUNCTION("IMPORTRANGE(""https://docs.google.com/spreadsheets/d/1SX6NBoVAgQJ6U1MVXOaj8PK2l7WJ3RER9xtqwdhxkhw/edit?usp=sharing"",""นครนายก!J521"")"),0)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IFERROR(__xludf.DUMMYFUNCTION("IMPORTRANGE(""https://docs.google.com/spreadsheets/d/1SX6NBoVAgQJ6U1MVXOaj8PK2l7WJ3RER9xtqwdhxkhw/edit?usp=sharing"",""นครนายก!I523"")"),3031999.6)</f>
        <v>3031999.6</v>
      </c>
      <c r="J628" s="342">
        <f ca="1">IFERROR(__xludf.DUMMYFUNCTION("IMPORTRANGE(""https://docs.google.com/spreadsheets/d/1SX6NBoVAgQJ6U1MVXOaj8PK2l7WJ3RER9xtqwdhxkhw/edit?usp=sharing"",""นครนายก!J523"")"),1878271.41)</f>
        <v>1878271.41</v>
      </c>
      <c r="K628" s="343">
        <f t="shared" ref="K628:K635" ca="1" si="129">IF(I628&gt;0,J628*100/I628,0)</f>
        <v>61.948273673914734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IFERROR(__xludf.DUMMYFUNCTION("IMPORTRANGE(""https://docs.google.com/spreadsheets/d/1SX6NBoVAgQJ6U1MVXOaj8PK2l7WJ3RER9xtqwdhxkhw/edit?usp=sharing"",""นครนายก!I524"")"),113)</f>
        <v>113</v>
      </c>
      <c r="J629" s="342">
        <f ca="1">IFERROR(__xludf.DUMMYFUNCTION("IMPORTRANGE(""https://docs.google.com/spreadsheets/d/1SX6NBoVAgQJ6U1MVXOaj8PK2l7WJ3RER9xtqwdhxkhw/edit?usp=sharing"",""นครนายก!J524"")"),81)</f>
        <v>81</v>
      </c>
      <c r="K629" s="343">
        <f t="shared" ca="1" si="129"/>
        <v>71.681415929203538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IFERROR(__xludf.DUMMYFUNCTION("IMPORTRANGE(""https://docs.google.com/spreadsheets/d/1SX6NBoVAgQJ6U1MVXOaj8PK2l7WJ3RER9xtqwdhxkhw/edit?usp=sharing"",""นครนายก!I525"")"),3755607.57)</f>
        <v>3755607.57</v>
      </c>
      <c r="J630" s="342">
        <f ca="1">IFERROR(__xludf.DUMMYFUNCTION("IMPORTRANGE(""https://docs.google.com/spreadsheets/d/1SX6NBoVAgQJ6U1MVXOaj8PK2l7WJ3RER9xtqwdhxkhw/edit?usp=sharing"",""นครนายก!J525"")"),81708.57)</f>
        <v>81708.570000000007</v>
      </c>
      <c r="K630" s="343">
        <f t="shared" ca="1" si="129"/>
        <v>2.1756418496089038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IFERROR(__xludf.DUMMYFUNCTION("IMPORTRANGE(""https://docs.google.com/spreadsheets/d/1SX6NBoVAgQJ6U1MVXOaj8PK2l7WJ3RER9xtqwdhxkhw/edit?usp=sharing"",""นครนายก!I526"")"),108)</f>
        <v>108</v>
      </c>
      <c r="J631" s="342">
        <f ca="1">IFERROR(__xludf.DUMMYFUNCTION("IMPORTRANGE(""https://docs.google.com/spreadsheets/d/1SX6NBoVAgQJ6U1MVXOaj8PK2l7WJ3RER9xtqwdhxkhw/edit?usp=sharing"",""นครนายก!J526"")"),16)</f>
        <v>16</v>
      </c>
      <c r="K631" s="343">
        <f t="shared" ca="1" si="129"/>
        <v>14.814814814814815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2">
        <f ca="1">IFERROR(__xludf.DUMMYFUNCTION("IMPORTRANGE(""https://docs.google.com/spreadsheets/d/1SX6NBoVAgQJ6U1MVXOaj8PK2l7WJ3RER9xtqwdhxkhw/edit?usp=sharing"",""นครนายก!J527"")"),2700298.21)</f>
        <v>2700298.21</v>
      </c>
      <c r="K632" s="343">
        <f t="shared" ca="1" si="129"/>
        <v>46.456904448451553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IFERROR(__xludf.DUMMYFUNCTION("IMPORTRANGE(""https://docs.google.com/spreadsheets/d/1SX6NBoVAgQJ6U1MVXOaj8PK2l7WJ3RER9xtqwdhxkhw/edit?usp=sharing"",""นครนายก!I528"")"),2019)</f>
        <v>2019</v>
      </c>
      <c r="J633" s="342">
        <f ca="1">IFERROR(__xludf.DUMMYFUNCTION("IMPORTRANGE(""https://docs.google.com/spreadsheets/d/1SX6NBoVAgQJ6U1MVXOaj8PK2l7WJ3RER9xtqwdhxkhw/edit?usp=sharing"",""นครนายก!J528"")"),1273)</f>
        <v>1273</v>
      </c>
      <c r="K633" s="343">
        <f t="shared" ca="1" si="129"/>
        <v>63.051015354135714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IFERROR(__xludf.DUMMYFUNCTION("IMPORTRANGE(""https://docs.google.com/spreadsheets/d/1SX6NBoVAgQJ6U1MVXOaj8PK2l7WJ3RER9xtqwdhxkhw/edit?usp=sharing"",""นครนายก!I529"")"),2000000)</f>
        <v>2000000</v>
      </c>
      <c r="J634" s="342">
        <f ca="1">IFERROR(__xludf.DUMMYFUNCTION("IMPORTRANGE(""https://docs.google.com/spreadsheets/d/1SX6NBoVAgQJ6U1MVXOaj8PK2l7WJ3RER9xtqwdhxkhw/edit?usp=sharing"",""นครนายก!J529"")"),2000000)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IFERROR(__xludf.DUMMYFUNCTION("IMPORTRANGE(""https://docs.google.com/spreadsheets/d/1SX6NBoVAgQJ6U1MVXOaj8PK2l7WJ3RER9xtqwdhxkhw/edit?usp=sharing"",""นครนายก!I530"")"),60)</f>
        <v>60</v>
      </c>
      <c r="J635" s="504">
        <f ca="1">IFERROR(__xludf.DUMMYFUNCTION("IMPORTRANGE(""https://docs.google.com/spreadsheets/d/1SX6NBoVAgQJ6U1MVXOaj8PK2l7WJ3RER9xtqwdhxkhw/edit?usp=sharing"",""นครนายก!J530"")"),67)</f>
        <v>67</v>
      </c>
      <c r="K635" s="486">
        <f t="shared" ca="1" si="129"/>
        <v>111.66666666666667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66030</v>
      </c>
      <c r="M636" s="511"/>
      <c r="N636" s="510">
        <f ca="1">SUM(N637:N638)</f>
        <v>5450</v>
      </c>
      <c r="O636" s="510">
        <f t="shared" ref="O636:O640" ca="1" si="130">+IF(L636&gt;0,N636*100/L636,0)</f>
        <v>8.253824019385128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66030</v>
      </c>
      <c r="M638" s="521"/>
      <c r="N638" s="522">
        <f ca="1">SUM(N639:N640)</f>
        <v>5450</v>
      </c>
      <c r="O638" s="522">
        <f t="shared" ca="1" si="130"/>
        <v>8.253824019385128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66030</v>
      </c>
      <c r="M640" s="521"/>
      <c r="N640" s="522">
        <f ca="1">SUM(N641:N644)</f>
        <v>5450</v>
      </c>
      <c r="O640" s="522">
        <f t="shared" ca="1" si="130"/>
        <v>8.253824019385128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5450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IFERROR(__xludf.DUMMYFUNCTION("IMPORTRANGE(""https://docs.google.com/spreadsheets/d/1SX6NBoVAgQJ6U1MVXOaj8PK2l7WJ3RER9xtqwdhxkhw/edit#gid=346597447"",""นครนายก!J541"")"),0)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IFERROR(__xludf.DUMMYFUNCTION("IMPORTRANGE(""https://docs.google.com/spreadsheets/d/1SX6NBoVAgQJ6U1MVXOaj8PK2l7WJ3RER9xtqwdhxkhw/edit#gid=346597447"",""นครนายก!J542"")"),0)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IFERROR(__xludf.DUMMYFUNCTION("IMPORTRANGE(""https://docs.google.com/spreadsheets/d/1SX6NBoVAgQJ6U1MVXOaj8PK2l7WJ3RER9xtqwdhxkhw/edit#gid=346597447"",""นครนายก!I543"")"),0)</f>
        <v>0</v>
      </c>
      <c r="J648" s="536">
        <f ca="1">IFERROR(__xludf.DUMMYFUNCTION("IMPORTRANGE(""https://docs.google.com/spreadsheets/d/1SX6NBoVAgQJ6U1MVXOaj8PK2l7WJ3RER9xtqwdhxkhw/edit#gid=346597447"",""นครนายก!J543"")"),0)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IFERROR(__xludf.DUMMYFUNCTION("IMPORTRANGE(""https://docs.google.com/spreadsheets/d/1SX6NBoVAgQJ6U1MVXOaj8PK2l7WJ3RER9xtqwdhxkhw/edit#gid=346597447"",""นครนายก!L543"")"),0)</f>
        <v>0</v>
      </c>
      <c r="M648" s="521"/>
      <c r="N648" s="538">
        <f ca="1">IFERROR(__xludf.DUMMYFUNCTION("IMPORTRANGE(""https://docs.google.com/spreadsheets/d/1SX6NBoVAgQJ6U1MVXOaj8PK2l7WJ3RER9xtqwdhxkhw/edit#gid=346597447"",""นครนายก!M543"")"),0)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IFERROR(__xludf.DUMMYFUNCTION("IMPORTRANGE(""https://docs.google.com/spreadsheets/d/1SX6NBoVAgQJ6U1MVXOaj8PK2l7WJ3RER9xtqwdhxkhw/edit#gid=346597447"",""นครนายก!I544"")"),5)</f>
        <v>5</v>
      </c>
      <c r="J649" s="536">
        <f ca="1">IFERROR(__xludf.DUMMYFUNCTION("IMPORTRANGE(""https://docs.google.com/spreadsheets/d/1SX6NBoVAgQJ6U1MVXOaj8PK2l7WJ3RER9xtqwdhxkhw/edit#gid=346597447"",""นครนายก!J544"")"),0)</f>
        <v>0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IFERROR(__xludf.DUMMYFUNCTION("IMPORTRANGE(""https://docs.google.com/spreadsheets/d/1SX6NBoVAgQJ6U1MVXOaj8PK2l7WJ3RER9xtqwdhxkhw/edit#gid=346597447"",""นครนายก!L544"")"),600)</f>
        <v>600</v>
      </c>
      <c r="M649" s="521"/>
      <c r="N649" s="538">
        <f ca="1">IFERROR(__xludf.DUMMYFUNCTION("IMPORTRANGE(""https://docs.google.com/spreadsheets/d/1SX6NBoVAgQJ6U1MVXOaj8PK2l7WJ3RER9xtqwdhxkhw/edit#gid=346597447"",""นครนายก!M544"")"),0)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IFERROR(__xludf.DUMMYFUNCTION("IMPORTRANGE(""https://docs.google.com/spreadsheets/d/1SX6NBoVAgQJ6U1MVXOaj8PK2l7WJ3RER9xtqwdhxkhw/edit#gid=346597447"",""นครนายก!I545"")"),1000)</f>
        <v>1000</v>
      </c>
      <c r="J650" s="536">
        <f ca="1">IFERROR(__xludf.DUMMYFUNCTION("IMPORTRANGE(""https://docs.google.com/spreadsheets/d/1SX6NBoVAgQJ6U1MVXOaj8PK2l7WJ3RER9xtqwdhxkhw/edit#gid=346597447"",""นครนายก!J545"")"),0)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IFERROR(__xludf.DUMMYFUNCTION("IMPORTRANGE(""https://docs.google.com/spreadsheets/d/1SX6NBoVAgQJ6U1MVXOaj8PK2l7WJ3RER9xtqwdhxkhw/edit#gid=346597447"",""นครนายก!L545"")"),5000)</f>
        <v>5000</v>
      </c>
      <c r="M650" s="521"/>
      <c r="N650" s="538">
        <f ca="1">IFERROR(__xludf.DUMMYFUNCTION("IMPORTRANGE(""https://docs.google.com/spreadsheets/d/1SX6NBoVAgQJ6U1MVXOaj8PK2l7WJ3RER9xtqwdhxkhw/edit#gid=346597447"",""นครนายก!M545"")"),0)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IFERROR(__xludf.DUMMYFUNCTION("IMPORTRANGE(""https://docs.google.com/spreadsheets/d/1SX6NBoVAgQJ6U1MVXOaj8PK2l7WJ3RER9xtqwdhxkhw/edit#gid=346597447"",""นครนายก!I546"")"),350)</f>
        <v>350</v>
      </c>
      <c r="J651" s="536">
        <f ca="1">J657+J660</f>
        <v>94</v>
      </c>
      <c r="K651" s="537">
        <f t="shared" ca="1" si="131"/>
        <v>26.857142857142858</v>
      </c>
      <c r="L651" s="522">
        <f ca="1">IFERROR(__xludf.DUMMYFUNCTION("IMPORTRANGE(""https://docs.google.com/spreadsheets/d/1SX6NBoVAgQJ6U1MVXOaj8PK2l7WJ3RER9xtqwdhxkhw/edit#gid=346597447"",""นครนายก!L546"")"),8750)</f>
        <v>8750</v>
      </c>
      <c r="M651" s="521"/>
      <c r="N651" s="538">
        <f ca="1">IFERROR(__xludf.DUMMYFUNCTION("IMPORTRANGE(""https://docs.google.com/spreadsheets/d/1SX6NBoVAgQJ6U1MVXOaj8PK2l7WJ3RER9xtqwdhxkhw/edit#gid=346597447"",""นครนายก!M546"")"),240)</f>
        <v>240</v>
      </c>
      <c r="O651" s="537">
        <f t="shared" ca="1" si="132"/>
        <v>2.7428571428571429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IFERROR(__xludf.DUMMYFUNCTION("IMPORTRANGE(""https://docs.google.com/spreadsheets/d/1SX6NBoVAgQJ6U1MVXOaj8PK2l7WJ3RER9xtqwdhxkhw/edit#gid=346597447"",""นครนายก!J547"")"),0)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IFERROR(__xludf.DUMMYFUNCTION("IMPORTRANGE(""https://docs.google.com/spreadsheets/d/1SX6NBoVAgQJ6U1MVXOaj8PK2l7WJ3RER9xtqwdhxkhw/edit#gid=346597447"",""นครนายก!J548"")"),0)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IFERROR(__xludf.DUMMYFUNCTION("IMPORTRANGE(""https://docs.google.com/spreadsheets/d/1SX6NBoVAgQJ6U1MVXOaj8PK2l7WJ3RER9xtqwdhxkhw/edit#gid=346597447"",""นครนายก!J550"")"),0)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IFERROR(__xludf.DUMMYFUNCTION("IMPORTRANGE(""https://docs.google.com/spreadsheets/d/1SX6NBoVAgQJ6U1MVXOaj8PK2l7WJ3RER9xtqwdhxkhw/edit#gid=346597447"",""นครนายก!J551"")"),0)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IFERROR(__xludf.DUMMYFUNCTION("IMPORTRANGE(""https://docs.google.com/spreadsheets/d/1SX6NBoVAgQJ6U1MVXOaj8PK2l7WJ3RER9xtqwdhxkhw/edit#gid=346597447"",""นครนายก!J552"")"),0)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IFERROR(__xludf.DUMMYFUNCTION("IMPORTRANGE(""https://docs.google.com/spreadsheets/d/1SX6NBoVAgQJ6U1MVXOaj8PK2l7WJ3RER9xtqwdhxkhw/edit#gid=346597447"",""นครนายก!J553"")"),16)</f>
        <v>16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IFERROR(__xludf.DUMMYFUNCTION("IMPORTRANGE(""https://docs.google.com/spreadsheets/d/1SX6NBoVAgQJ6U1MVXOaj8PK2l7WJ3RER9xtqwdhxkhw/edit#gid=346597447"",""นครนายก!J554"")"),16)</f>
        <v>16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IFERROR(__xludf.DUMMYFUNCTION("IMPORTRANGE(""https://docs.google.com/spreadsheets/d/1SX6NBoVAgQJ6U1MVXOaj8PK2l7WJ3RER9xtqwdhxkhw/edit#gid=346597447"",""นครนายก!J555"")"),94)</f>
        <v>94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IFERROR(__xludf.DUMMYFUNCTION("IMPORTRANGE(""https://docs.google.com/spreadsheets/d/1SX6NBoVAgQJ6U1MVXOaj8PK2l7WJ3RER9xtqwdhxkhw/edit#gid=346597447"",""นครนายก!J556"")"),0)</f>
        <v>0</v>
      </c>
      <c r="K661" s="537"/>
      <c r="L661" s="522">
        <f ca="1">IFERROR(__xludf.DUMMYFUNCTION("IMPORTRANGE(""https://docs.google.com/spreadsheets/d/1SX6NBoVAgQJ6U1MVXOaj8PK2l7WJ3RER9xtqwdhxkhw/edit#gid=346597447"",""นครนายก!L556"")"),14000)</f>
        <v>14000</v>
      </c>
      <c r="M661" s="521"/>
      <c r="N661" s="538">
        <f ca="1">IFERROR(__xludf.DUMMYFUNCTION("IMPORTRANGE(""https://docs.google.com/spreadsheets/d/1SX6NBoVAgQJ6U1MVXOaj8PK2l7WJ3RER9xtqwdhxkhw/edit#gid=346597447"",""นครนายก!M556"")"),0)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IFERROR(__xludf.DUMMYFUNCTION("IMPORTRANGE(""https://docs.google.com/spreadsheets/d/1SX6NBoVAgQJ6U1MVXOaj8PK2l7WJ3RER9xtqwdhxkhw/edit#gid=346597447"",""นครนายก!J557"")"),0)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IFERROR(__xludf.DUMMYFUNCTION("IMPORTRANGE(""https://docs.google.com/spreadsheets/d/1SX6NBoVAgQJ6U1MVXOaj8PK2l7WJ3RER9xtqwdhxkhw/edit#gid=346597447"",""นครนายก!I558"")"),350)</f>
        <v>350</v>
      </c>
      <c r="J663" s="536">
        <f ca="1">IFERROR(__xludf.DUMMYFUNCTION("IMPORTRANGE(""https://docs.google.com/spreadsheets/d/1SX6NBoVAgQJ6U1MVXOaj8PK2l7WJ3RER9xtqwdhxkhw/edit#gid=346597447"",""นครนายก!J558"")"),0)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IFERROR(__xludf.DUMMYFUNCTION("IMPORTRANGE(""https://docs.google.com/spreadsheets/d/1SX6NBoVAgQJ6U1MVXOaj8PK2l7WJ3RER9xtqwdhxkhw/edit#gid=346597447"",""นครนายก!I560"")"),31)</f>
        <v>31</v>
      </c>
      <c r="J665" s="536">
        <f ca="1">IFERROR(__xludf.DUMMYFUNCTION("IMPORTRANGE(""https://docs.google.com/spreadsheets/d/1SX6NBoVAgQJ6U1MVXOaj8PK2l7WJ3RER9xtqwdhxkhw/edit#gid=346597447"",""นครนายก!J560"")"),0)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IFERROR(__xludf.DUMMYFUNCTION("IMPORTRANGE(""https://docs.google.com/spreadsheets/d/1SX6NBoVAgQJ6U1MVXOaj8PK2l7WJ3RER9xtqwdhxkhw/edit#gid=346597447"",""นครนายก!L560"")"),3720)</f>
        <v>3720</v>
      </c>
      <c r="M665" s="521"/>
      <c r="N665" s="538">
        <f ca="1">IFERROR(__xludf.DUMMYFUNCTION("IMPORTRANGE(""https://docs.google.com/spreadsheets/d/1SX6NBoVAgQJ6U1MVXOaj8PK2l7WJ3RER9xtqwdhxkhw/edit#gid=346597447"",""นครนายก!M560"")"),620)</f>
        <v>620</v>
      </c>
      <c r="O665" s="537">
        <f ca="1">IF(L665&gt;0,N665*100/L665,0)</f>
        <v>16.666666666666668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IFERROR(__xludf.DUMMYFUNCTION("IMPORTRANGE(""https://docs.google.com/spreadsheets/d/1SX6NBoVAgQJ6U1MVXOaj8PK2l7WJ3RER9xtqwdhxkhw/edit#gid=346597447"",""นครนายก!J561"")"),0)</f>
        <v>0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IFERROR(__xludf.DUMMYFUNCTION("IMPORTRANGE(""https://docs.google.com/spreadsheets/d/1SX6NBoVAgQJ6U1MVXOaj8PK2l7WJ3RER9xtqwdhxkhw/edit#gid=346597447"",""นครนายก!J562"")"),0)</f>
        <v>0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IFERROR(__xludf.DUMMYFUNCTION("IMPORTRANGE(""https://docs.google.com/spreadsheets/d/1SX6NBoVAgQJ6U1MVXOaj8PK2l7WJ3RER9xtqwdhxkhw/edit#gid=346597447"",""นครนายก!I563"")"),31)</f>
        <v>31</v>
      </c>
      <c r="J668" s="536">
        <f ca="1">IFERROR(__xludf.DUMMYFUNCTION("IMPORTRANGE(""https://docs.google.com/spreadsheets/d/1SX6NBoVAgQJ6U1MVXOaj8PK2l7WJ3RER9xtqwdhxkhw/edit#gid=346597447"",""นครนายก!J563"")"),0)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IFERROR(__xludf.DUMMYFUNCTION("IMPORTRANGE(""https://docs.google.com/spreadsheets/d/1SX6NBoVAgQJ6U1MVXOaj8PK2l7WJ3RER9xtqwdhxkhw/edit#gid=346597447"",""นครนายก!L563"")"),17480)</f>
        <v>17480</v>
      </c>
      <c r="M668" s="521"/>
      <c r="N668" s="538">
        <f ca="1">IFERROR(__xludf.DUMMYFUNCTION("IMPORTRANGE(""https://docs.google.com/spreadsheets/d/1SX6NBoVAgQJ6U1MVXOaj8PK2l7WJ3RER9xtqwdhxkhw/edit#gid=346597447"",""นครนายก!M563"")"),620)</f>
        <v>620</v>
      </c>
      <c r="O668" s="537">
        <f ca="1">IF(L668&gt;0,N668*100/L668,0)</f>
        <v>3.5469107551487413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IFERROR(__xludf.DUMMYFUNCTION("IMPORTRANGE(""https://docs.google.com/spreadsheets/d/1SX6NBoVAgQJ6U1MVXOaj8PK2l7WJ3RER9xtqwdhxkhw/edit#gid=346597447"",""นครนายก!J564"")"),0)</f>
        <v>0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IFERROR(__xludf.DUMMYFUNCTION("IMPORTRANGE(""https://docs.google.com/spreadsheets/d/1SX6NBoVAgQJ6U1MVXOaj8PK2l7WJ3RER9xtqwdhxkhw/edit#gid=346597447"",""นครนายก!J565"")"),0)</f>
        <v>0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IFERROR(__xludf.DUMMYFUNCTION("IMPORTRANGE(""https://docs.google.com/spreadsheets/d/1SX6NBoVAgQJ6U1MVXOaj8PK2l7WJ3RER9xtqwdhxkhw/edit#gid=346597447"",""นครนายก!I566"")"),206)</f>
        <v>206</v>
      </c>
      <c r="J671" s="536">
        <f ca="1">J674+J677</f>
        <v>225</v>
      </c>
      <c r="K671" s="537">
        <f ca="1">IF(I671&gt;0,J671*100/I671,0)</f>
        <v>109.22330097087378</v>
      </c>
      <c r="L671" s="522">
        <f ca="1">IFERROR(__xludf.DUMMYFUNCTION("IMPORTRANGE(""https://docs.google.com/spreadsheets/d/1SX6NBoVAgQJ6U1MVXOaj8PK2l7WJ3RER9xtqwdhxkhw/edit#gid=346597447"",""นครนายก!L566"")"),16480)</f>
        <v>16480</v>
      </c>
      <c r="M671" s="521"/>
      <c r="N671" s="538">
        <f ca="1">IFERROR(__xludf.DUMMYFUNCTION("IMPORTRANGE(""https://docs.google.com/spreadsheets/d/1SX6NBoVAgQJ6U1MVXOaj8PK2l7WJ3RER9xtqwdhxkhw/edit#gid=346597447"",""นครนายก!M566"")"),3970)</f>
        <v>3970</v>
      </c>
      <c r="O671" s="537">
        <f ca="1">IF(L671&gt;0,N671*100/L671,0)</f>
        <v>24.089805825242717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IFERROR(__xludf.DUMMYFUNCTION("IMPORTRANGE(""https://docs.google.com/spreadsheets/d/1SX6NBoVAgQJ6U1MVXOaj8PK2l7WJ3RER9xtqwdhxkhw/edit#gid=346597447"",""นครนายก!J567"")"),0)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IFERROR(__xludf.DUMMYFUNCTION("IMPORTRANGE(""https://docs.google.com/spreadsheets/d/1SX6NBoVAgQJ6U1MVXOaj8PK2l7WJ3RER9xtqwdhxkhw/edit#gid=346597447"",""นครนายก!J568"")"),0)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IFERROR(__xludf.DUMMYFUNCTION("IMPORTRANGE(""https://docs.google.com/spreadsheets/d/1SX6NBoVAgQJ6U1MVXOaj8PK2l7WJ3RER9xtqwdhxkhw/edit#gid=346597447"",""นครนายก!J569"")"),29)</f>
        <v>29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IFERROR(__xludf.DUMMYFUNCTION("IMPORTRANGE(""https://docs.google.com/spreadsheets/d/1SX6NBoVAgQJ6U1MVXOaj8PK2l7WJ3RER9xtqwdhxkhw/edit#gid=346597447"",""นครนายก!J570"")"),0)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IFERROR(__xludf.DUMMYFUNCTION("IMPORTRANGE(""https://docs.google.com/spreadsheets/d/1SX6NBoVAgQJ6U1MVXOaj8PK2l7WJ3RER9xtqwdhxkhw/edit#gid=346597447"",""นครนายก!J571"")"),0)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IFERROR(__xludf.DUMMYFUNCTION("IMPORTRANGE(""https://docs.google.com/spreadsheets/d/1SX6NBoVAgQJ6U1MVXOaj8PK2l7WJ3RER9xtqwdhxkhw/edit#gid=346597447"",""นครนายก!J572"")"),196)</f>
        <v>196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274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1" t="s">
        <v>2</v>
      </c>
      <c r="B5" s="582"/>
      <c r="C5" s="582"/>
      <c r="D5" s="582"/>
      <c r="E5" s="582"/>
      <c r="F5" s="582"/>
      <c r="G5" s="583"/>
      <c r="H5" s="576" t="s">
        <v>3</v>
      </c>
      <c r="I5" s="578" t="s">
        <v>4</v>
      </c>
      <c r="J5" s="569"/>
      <c r="K5" s="570"/>
      <c r="L5" s="579" t="s">
        <v>5</v>
      </c>
      <c r="M5" s="570"/>
      <c r="N5" s="580" t="s">
        <v>6</v>
      </c>
      <c r="O5" s="569"/>
      <c r="P5" s="570"/>
    </row>
    <row r="6" spans="1:16" ht="21.75" customHeight="1" x14ac:dyDescent="0.35">
      <c r="A6" s="584"/>
      <c r="B6" s="585"/>
      <c r="C6" s="585"/>
      <c r="D6" s="585"/>
      <c r="E6" s="585"/>
      <c r="F6" s="585"/>
      <c r="G6" s="586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4" t="s">
        <v>15</v>
      </c>
      <c r="B7" s="569"/>
      <c r="C7" s="569"/>
      <c r="D7" s="569"/>
      <c r="E7" s="569"/>
      <c r="F7" s="569"/>
      <c r="G7" s="57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73" t="s">
        <v>17</v>
      </c>
      <c r="E8" s="562"/>
      <c r="F8" s="562"/>
      <c r="G8" s="562"/>
      <c r="H8" s="20" t="s">
        <v>12</v>
      </c>
      <c r="I8" s="21"/>
      <c r="J8" s="21"/>
      <c r="K8" s="22"/>
      <c r="L8" s="23">
        <f t="shared" ref="L8:N8" ca="1" si="0">L9+L10</f>
        <v>2426755</v>
      </c>
      <c r="M8" s="23">
        <f t="shared" ca="1" si="0"/>
        <v>1635085.1400000001</v>
      </c>
      <c r="N8" s="23">
        <f t="shared" ca="1" si="0"/>
        <v>1643938.25</v>
      </c>
      <c r="O8" s="22">
        <f t="shared" ref="O8:O16" ca="1" si="1">IF(L8&gt;0,N8*100/L8,0)</f>
        <v>67.742242212337047</v>
      </c>
      <c r="P8" s="22">
        <f t="shared" ref="P8:P16" ca="1" si="2">IF(M8&gt;0,N8*100/M8,0)</f>
        <v>100.54144642278382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2426755</v>
      </c>
      <c r="M10" s="30">
        <f t="shared" ca="1" si="4"/>
        <v>1635085.1400000001</v>
      </c>
      <c r="N10" s="30">
        <f t="shared" ca="1" si="4"/>
        <v>1643938.25</v>
      </c>
      <c r="O10" s="29">
        <f t="shared" ca="1" si="1"/>
        <v>67.742242212337047</v>
      </c>
      <c r="P10" s="29">
        <f t="shared" ca="1" si="2"/>
        <v>100.54144642278382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4"/>
      <c r="F11" s="56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2284205</v>
      </c>
      <c r="M12" s="38">
        <f t="shared" ca="1" si="6"/>
        <v>1492535.1400000001</v>
      </c>
      <c r="N12" s="38">
        <f t="shared" ca="1" si="6"/>
        <v>1501388.25</v>
      </c>
      <c r="O12" s="38">
        <f t="shared" ca="1" si="1"/>
        <v>65.729137708743309</v>
      </c>
      <c r="P12" s="38">
        <f t="shared" ca="1" si="2"/>
        <v>100.59315923375847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1468000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816205</v>
      </c>
      <c r="M14" s="38">
        <f t="shared" si="8"/>
        <v>0</v>
      </c>
      <c r="N14" s="38">
        <f t="shared" ca="1" si="8"/>
        <v>307877.44</v>
      </c>
      <c r="O14" s="38">
        <f t="shared" ca="1" si="1"/>
        <v>37.720602054630881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142550</v>
      </c>
      <c r="M16" s="38">
        <f t="shared" ca="1" si="10"/>
        <v>142550</v>
      </c>
      <c r="N16" s="38">
        <f t="shared" ca="1" si="10"/>
        <v>142550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4" t="s">
        <v>24</v>
      </c>
      <c r="B17" s="569"/>
      <c r="C17" s="569"/>
      <c r="D17" s="569"/>
      <c r="E17" s="569"/>
      <c r="F17" s="569"/>
      <c r="G17" s="57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73" t="s">
        <v>17</v>
      </c>
      <c r="E18" s="562"/>
      <c r="F18" s="562"/>
      <c r="G18" s="562"/>
      <c r="H18" s="20" t="s">
        <v>12</v>
      </c>
      <c r="I18" s="21"/>
      <c r="J18" s="21"/>
      <c r="K18" s="22"/>
      <c r="L18" s="23">
        <f t="shared" ref="L18:N18" ca="1" si="11">L19+L20</f>
        <v>2067155</v>
      </c>
      <c r="M18" s="23">
        <f t="shared" ca="1" si="11"/>
        <v>1635085.1400000001</v>
      </c>
      <c r="N18" s="23">
        <f t="shared" ca="1" si="11"/>
        <v>1336060.81</v>
      </c>
      <c r="O18" s="22">
        <f t="shared" ref="O18:O20" ca="1" si="12">IF(L18&gt;0,N18*100/L18,0)</f>
        <v>64.632831597050057</v>
      </c>
      <c r="P18" s="22">
        <f t="shared" ref="P18:P26" ca="1" si="13">IF(M18&gt;0,N18*100/M18,0)</f>
        <v>81.712002471015055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2067155</v>
      </c>
      <c r="M20" s="30">
        <f t="shared" ca="1" si="15"/>
        <v>1635085.1400000001</v>
      </c>
      <c r="N20" s="30">
        <f t="shared" ca="1" si="15"/>
        <v>1336060.81</v>
      </c>
      <c r="O20" s="29">
        <f t="shared" ca="1" si="12"/>
        <v>64.632831597050057</v>
      </c>
      <c r="P20" s="29">
        <f t="shared" ca="1" si="13"/>
        <v>81.712002471015055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4"/>
      <c r="F21" s="56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1924605</v>
      </c>
      <c r="M22" s="41">
        <f t="shared" ca="1" si="18"/>
        <v>1492535.1400000001</v>
      </c>
      <c r="N22" s="38">
        <f t="shared" ca="1" si="18"/>
        <v>1193510.81</v>
      </c>
      <c r="O22" s="38">
        <f t="shared" ca="1" si="17"/>
        <v>62.013286362656231</v>
      </c>
      <c r="P22" s="38">
        <f t="shared" ca="1" si="13"/>
        <v>79.965340715529138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1468000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456605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142550</v>
      </c>
      <c r="M26" s="49">
        <f t="shared" ca="1" si="22"/>
        <v>142550</v>
      </c>
      <c r="N26" s="49">
        <f t="shared" ca="1" si="22"/>
        <v>142550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4" t="s">
        <v>25</v>
      </c>
      <c r="B27" s="569"/>
      <c r="C27" s="569"/>
      <c r="D27" s="569"/>
      <c r="E27" s="569"/>
      <c r="F27" s="569"/>
      <c r="G27" s="57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73" t="s">
        <v>17</v>
      </c>
      <c r="E28" s="562"/>
      <c r="F28" s="562"/>
      <c r="G28" s="562"/>
      <c r="H28" s="20" t="s">
        <v>12</v>
      </c>
      <c r="I28" s="21"/>
      <c r="J28" s="21"/>
      <c r="K28" s="22"/>
      <c r="L28" s="23">
        <f t="shared" ref="L28:N28" ca="1" si="23">L29+L30</f>
        <v>359600</v>
      </c>
      <c r="M28" s="23">
        <f t="shared" si="23"/>
        <v>0</v>
      </c>
      <c r="N28" s="23">
        <f t="shared" ca="1" si="23"/>
        <v>307877.44</v>
      </c>
      <c r="O28" s="22">
        <f t="shared" ref="O28:O30" ca="1" si="24">IF(L28&gt;0,N28*100/L28,0)</f>
        <v>85.616640711902107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359600</v>
      </c>
      <c r="M30" s="30">
        <f t="shared" si="27"/>
        <v>0</v>
      </c>
      <c r="N30" s="30">
        <f t="shared" ca="1" si="27"/>
        <v>307877.44</v>
      </c>
      <c r="O30" s="29">
        <f t="shared" ca="1" si="24"/>
        <v>85.616640711902107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4"/>
      <c r="F31" s="56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359600</v>
      </c>
      <c r="M32" s="38">
        <f t="shared" si="30"/>
        <v>0</v>
      </c>
      <c r="N32" s="38">
        <f t="shared" ca="1" si="30"/>
        <v>307877.44</v>
      </c>
      <c r="O32" s="38">
        <f t="shared" ca="1" si="29"/>
        <v>85.616640711902107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359600</v>
      </c>
      <c r="M34" s="38">
        <f t="shared" si="32"/>
        <v>0</v>
      </c>
      <c r="N34" s="38">
        <f t="shared" ca="1" si="32"/>
        <v>307877.44</v>
      </c>
      <c r="O34" s="38">
        <f t="shared" ca="1" si="29"/>
        <v>85.616640711902107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2067155</v>
      </c>
      <c r="M37" s="54">
        <f t="shared" ca="1" si="33"/>
        <v>1635085.1400000001</v>
      </c>
      <c r="N37" s="54">
        <f t="shared" ca="1" si="33"/>
        <v>1336060.81</v>
      </c>
      <c r="O37" s="55">
        <f t="shared" ca="1" si="29"/>
        <v>64.632831597050057</v>
      </c>
      <c r="P37" s="55">
        <f t="shared" ca="1" si="25"/>
        <v>81.712002471015055</v>
      </c>
    </row>
    <row r="38" spans="1:16" ht="21.75" customHeight="1" x14ac:dyDescent="0.45">
      <c r="A38" s="568" t="s">
        <v>27</v>
      </c>
      <c r="B38" s="569"/>
      <c r="C38" s="569"/>
      <c r="D38" s="569"/>
      <c r="E38" s="569"/>
      <c r="F38" s="569"/>
      <c r="G38" s="57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1" t="s">
        <v>28</v>
      </c>
      <c r="C39" s="562"/>
      <c r="D39" s="562"/>
      <c r="E39" s="562"/>
      <c r="F39" s="562"/>
      <c r="G39" s="56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2" t="s">
        <v>17</v>
      </c>
      <c r="E41" s="564"/>
      <c r="F41" s="564"/>
      <c r="G41" s="564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422500</v>
      </c>
      <c r="N41" s="78">
        <f t="shared" ca="1" si="34"/>
        <v>342699.7</v>
      </c>
      <c r="O41" s="77">
        <f t="shared" ref="O41:O43" ca="1" si="35">IF(L41&gt;0,N41*100/L41,0)</f>
        <v>60.837866145925794</v>
      </c>
      <c r="P41" s="77">
        <f t="shared" ref="P41:P43" ca="1" si="36">IF(M41&gt;0,N41*100/M41,0)</f>
        <v>81.1123550295858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422500</v>
      </c>
      <c r="N43" s="78">
        <f t="shared" ca="1" si="38"/>
        <v>342699.7</v>
      </c>
      <c r="O43" s="77">
        <f t="shared" ca="1" si="35"/>
        <v>60.837866145925794</v>
      </c>
      <c r="P43" s="77">
        <f t="shared" ca="1" si="36"/>
        <v>81.1123550295858</v>
      </c>
    </row>
    <row r="44" spans="1:16" ht="21.75" customHeight="1" x14ac:dyDescent="0.45">
      <c r="A44" s="79"/>
      <c r="B44" s="80"/>
      <c r="C44" s="81" t="s">
        <v>16</v>
      </c>
      <c r="D44" s="563" t="s">
        <v>20</v>
      </c>
      <c r="E44" s="564"/>
      <c r="F44" s="56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IFERROR(__xludf.DUMMYFUNCTION("IMPORTRANGE(""https://docs.google.com/spreadsheets/d/1Yj_ptqi66GCucihVvJfMjLAmec39IyEx_6qawtMGysU/edit?usp=sharing"",""สบก!Q66"")"),422500)</f>
        <v>422500</v>
      </c>
      <c r="N45" s="49">
        <f ca="1">IFERROR(__xludf.DUMMYFUNCTION("IMPORTRANGE(""https://docs.google.com/spreadsheets/d/1Yj_ptqi66GCucihVvJfMjLAmec39IyEx_6qawtMGysU/edit?usp=sharing"",""สบก!R66"")"),342699.7)</f>
        <v>342699.7</v>
      </c>
      <c r="O45" s="38">
        <f ca="1">IF(L45&gt;0,N45*100/L45,0)</f>
        <v>60.837866145925794</v>
      </c>
      <c r="P45" s="38">
        <f ca="1">IF(M45&gt;0,N45*100/M45,0)</f>
        <v>81.1123550295858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3" t="s">
        <v>23</v>
      </c>
      <c r="E48" s="56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65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66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288000</v>
      </c>
      <c r="M53" s="121">
        <f t="shared" ca="1" si="39"/>
        <v>244855.14</v>
      </c>
      <c r="N53" s="121">
        <f t="shared" ca="1" si="39"/>
        <v>217272</v>
      </c>
      <c r="O53" s="120">
        <f t="shared" ref="O53:O55" ca="1" si="40">IF(L53&gt;0,N53*100/L53,0)</f>
        <v>75.441666666666663</v>
      </c>
      <c r="P53" s="120">
        <f t="shared" ref="P53:P55" ca="1" si="41">IF(M53&gt;0,N53*100/M53,0)</f>
        <v>88.734914856188027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288000</v>
      </c>
      <c r="M55" s="121">
        <f t="shared" ca="1" si="43"/>
        <v>244855.14</v>
      </c>
      <c r="N55" s="121">
        <f t="shared" ca="1" si="43"/>
        <v>217272</v>
      </c>
      <c r="O55" s="120">
        <f t="shared" ca="1" si="40"/>
        <v>75.441666666666663</v>
      </c>
      <c r="P55" s="120">
        <f t="shared" ca="1" si="41"/>
        <v>88.734914856188027</v>
      </c>
    </row>
    <row r="56" spans="1:16" ht="21.75" customHeight="1" x14ac:dyDescent="0.45">
      <c r="A56" s="79"/>
      <c r="B56" s="80"/>
      <c r="C56" s="81" t="s">
        <v>16</v>
      </c>
      <c r="D56" s="563" t="s">
        <v>20</v>
      </c>
      <c r="E56" s="564"/>
      <c r="F56" s="564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288000</v>
      </c>
      <c r="M57" s="49">
        <f ca="1">IFERROR(__xludf.DUMMYFUNCTION("IMPORTRANGE(""https://docs.google.com/spreadsheets/d/1Yj_ptqi66GCucihVvJfMjLAmec39IyEx_6qawtMGysU/edit?usp=sharing"",""สบก!Z66"")"),244855.14)</f>
        <v>244855.14</v>
      </c>
      <c r="N57" s="49">
        <f ca="1">IFERROR(__xludf.DUMMYFUNCTION("IMPORTRANGE(""https://docs.google.com/spreadsheets/d/1Yj_ptqi66GCucihVvJfMjLAmec39IyEx_6qawtMGysU/edit?usp=sharing"",""สบก!AA66"")"),217272)</f>
        <v>217272</v>
      </c>
      <c r="O57" s="38">
        <f ca="1">IF(L57&gt;0,N57*100/L57,0)</f>
        <v>75.441666666666663</v>
      </c>
      <c r="P57" s="38">
        <f ca="1">IF(M57&gt;0,N57*100/M57,0)</f>
        <v>88.734914856188027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IFERROR(__xludf.DUMMYFUNCTION("IMPORTRANGE(""https://docs.google.com/spreadsheets/d/1Yj_ptqi66GCucihVvJfMjLAmec39IyEx_6qawtMGysU/edit?usp=sharing"",""สบก!V66"")"),288000)</f>
        <v>288000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3" t="s">
        <v>23</v>
      </c>
      <c r="E60" s="56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1" t="s">
        <v>17</v>
      </c>
      <c r="E66" s="562"/>
      <c r="F66" s="562"/>
      <c r="G66" s="56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7400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7400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3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IFERROR(__xludf.DUMMYFUNCTION("IMPORTRANGE(""https://docs.google.com/spreadsheets/d/1Yj_ptqi66GCucihVvJfMjLAmec39IyEx_6qawtMGysU/edit?usp=sharing"",""สบก!AI66"")"),7400)</f>
        <v>7400</v>
      </c>
      <c r="N70" s="169">
        <f ca="1">IFERROR(__xludf.DUMMYFUNCTION("IMPORTRANGE(""https://docs.google.com/spreadsheets/d/1Yj_ptqi66GCucihVvJfMjLAmec39IyEx_6qawtMGysU/edit?usp=sharing"",""สบก!AJ66"")"),0)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IFERROR(__xludf.DUMMYFUNCTION("IMPORTRANGE(""https://docs.google.com/spreadsheets/d/1Yj_ptqi66GCucihVvJfMjLAmec39IyEx_6qawtMGysU/edit?usp=sharing"",""สบก!AE66"")"),0)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IFERROR(__xludf.DUMMYFUNCTION("IMPORTRANGE(""https://docs.google.com/spreadsheets/d/1Yj_ptqi66GCucihVvJfMjLAmec39IyEx_6qawtMGysU/edit?usp=sharing"",""สบก!AF66"")"),0)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3" t="s">
        <v>23</v>
      </c>
      <c r="E73" s="56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IFERROR(__xludf.DUMMYFUNCTION("IMPORTRANGE(""https://docs.google.com/spreadsheets/d/1SX6NBoVAgQJ6U1MVXOaj8PK2l7WJ3RER9xtqwdhxkhw/edit?usp=sharing"",""นครปฐม!J16"")"),0)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IFERROR(__xludf.DUMMYFUNCTION("IMPORTRANGE(""https://docs.google.com/spreadsheets/d/1SX6NBoVAgQJ6U1MVXOaj8PK2l7WJ3RER9xtqwdhxkhw/edit?usp=sharing"",""นครปฐม!J17"")"),0)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IFERROR(__xludf.DUMMYFUNCTION("IMPORTRANGE(""https://docs.google.com/spreadsheets/d/1SX6NBoVAgQJ6U1MVXOaj8PK2l7WJ3RER9xtqwdhxkhw/edit?usp=sharing"",""นครปฐม!J18"")"),0)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IFERROR(__xludf.DUMMYFUNCTION("IMPORTRANGE(""https://docs.google.com/spreadsheets/d/1SX6NBoVAgQJ6U1MVXOaj8PK2l7WJ3RER9xtqwdhxkhw/edit?usp=sharing"",""นครปฐม!J19"")"),0)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IFERROR(__xludf.DUMMYFUNCTION("IMPORTRANGE(""https://docs.google.com/spreadsheets/d/1SX6NBoVAgQJ6U1MVXOaj8PK2l7WJ3RER9xtqwdhxkhw/edit?usp=sharing"",""นครปฐม!I20"")"),0)</f>
        <v>0</v>
      </c>
      <c r="J80" s="201">
        <f ca="1">IFERROR(__xludf.DUMMYFUNCTION("IMPORTRANGE(""https://docs.google.com/spreadsheets/d/1SX6NBoVAgQJ6U1MVXOaj8PK2l7WJ3RER9xtqwdhxkhw/edit?usp=sharing"",""นครปฐม!J20"")"),0)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IFERROR(__xludf.DUMMYFUNCTION("IMPORTRANGE(""https://docs.google.com/spreadsheets/d/1SX6NBoVAgQJ6U1MVXOaj8PK2l7WJ3RER9xtqwdhxkhw/edit?usp=sharing"",""นครปฐม!I21"")"),0)</f>
        <v>0</v>
      </c>
      <c r="J81" s="201">
        <f ca="1">IFERROR(__xludf.DUMMYFUNCTION("IMPORTRANGE(""https://docs.google.com/spreadsheets/d/1SX6NBoVAgQJ6U1MVXOaj8PK2l7WJ3RER9xtqwdhxkhw/edit?usp=sharing"",""นครปฐม!J21"")"),0)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IFERROR(__xludf.DUMMYFUNCTION("IMPORTRANGE(""https://docs.google.com/spreadsheets/d/1SX6NBoVAgQJ6U1MVXOaj8PK2l7WJ3RER9xtqwdhxkhw/edit?usp=sharing"",""นครปฐม!I22"")"),0)</f>
        <v>0</v>
      </c>
      <c r="J82" s="204">
        <f ca="1">IFERROR(__xludf.DUMMYFUNCTION("IMPORTRANGE(""https://docs.google.com/spreadsheets/d/1SX6NBoVAgQJ6U1MVXOaj8PK2l7WJ3RER9xtqwdhxkhw/edit?usp=sharing"",""นครปฐม!J22"")"),0)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IFERROR(__xludf.DUMMYFUNCTION("IMPORTRANGE(""https://docs.google.com/spreadsheets/d/1SX6NBoVAgQJ6U1MVXOaj8PK2l7WJ3RER9xtqwdhxkhw/edit?usp=sharing"",""นครปฐม!I23"")"),0)</f>
        <v>0</v>
      </c>
      <c r="J83" s="204">
        <f ca="1">IFERROR(__xludf.DUMMYFUNCTION("IMPORTRANGE(""https://docs.google.com/spreadsheets/d/1SX6NBoVAgQJ6U1MVXOaj8PK2l7WJ3RER9xtqwdhxkhw/edit?usp=sharing"",""นครปฐม!J23"")"),0)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IFERROR(__xludf.DUMMYFUNCTION("IMPORTRANGE(""https://docs.google.com/spreadsheets/d/1SX6NBoVAgQJ6U1MVXOaj8PK2l7WJ3RER9xtqwdhxkhw/edit?usp=sharing"",""นครปฐม!I24"")"),0)</f>
        <v>0</v>
      </c>
      <c r="J84" s="189">
        <f ca="1">IFERROR(__xludf.DUMMYFUNCTION("IMPORTRANGE(""https://docs.google.com/spreadsheets/d/1SX6NBoVAgQJ6U1MVXOaj8PK2l7WJ3RER9xtqwdhxkhw/edit?usp=sharing"",""นครปฐม!J24"")"),0)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IFERROR(__xludf.DUMMYFUNCTION("IMPORTRANGE(""https://docs.google.com/spreadsheets/d/1SX6NBoVAgQJ6U1MVXOaj8PK2l7WJ3RER9xtqwdhxkhw/edit?usp=sharing"",""นครปฐม!I25"")"),0)</f>
        <v>0</v>
      </c>
      <c r="J85" s="189">
        <f ca="1">IFERROR(__xludf.DUMMYFUNCTION("IMPORTRANGE(""https://docs.google.com/spreadsheets/d/1SX6NBoVAgQJ6U1MVXOaj8PK2l7WJ3RER9xtqwdhxkhw/edit?usp=sharing"",""นครปฐม!J25"")"),0)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IFERROR(__xludf.DUMMYFUNCTION("IMPORTRANGE(""https://docs.google.com/spreadsheets/d/1SX6NBoVAgQJ6U1MVXOaj8PK2l7WJ3RER9xtqwdhxkhw/edit?usp=sharing"",""นครปฐม!I26"")"),0)</f>
        <v>0</v>
      </c>
      <c r="J86" s="204">
        <f ca="1">IFERROR(__xludf.DUMMYFUNCTION("IMPORTRANGE(""https://docs.google.com/spreadsheets/d/1SX6NBoVAgQJ6U1MVXOaj8PK2l7WJ3RER9xtqwdhxkhw/edit?usp=sharing"",""นครปฐม!J26"")"),0)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IFERROR(__xludf.DUMMYFUNCTION("IMPORTRANGE(""https://docs.google.com/spreadsheets/d/1SX6NBoVAgQJ6U1MVXOaj8PK2l7WJ3RER9xtqwdhxkhw/edit?usp=sharing"",""นครปฐม!I27"")"),0)</f>
        <v>0</v>
      </c>
      <c r="J87" s="204">
        <f ca="1">IFERROR(__xludf.DUMMYFUNCTION("IMPORTRANGE(""https://docs.google.com/spreadsheets/d/1SX6NBoVAgQJ6U1MVXOaj8PK2l7WJ3RER9xtqwdhxkhw/edit?usp=sharing"",""นครปฐม!J27"")"),0)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IFERROR(__xludf.DUMMYFUNCTION("IMPORTRANGE(""https://docs.google.com/spreadsheets/d/1SX6NBoVAgQJ6U1MVXOaj8PK2l7WJ3RER9xtqwdhxkhw/edit?usp=sharing"",""นครปฐม!I28"")"),0)</f>
        <v>0</v>
      </c>
      <c r="J88" s="204">
        <f ca="1">IFERROR(__xludf.DUMMYFUNCTION("IMPORTRANGE(""https://docs.google.com/spreadsheets/d/1SX6NBoVAgQJ6U1MVXOaj8PK2l7WJ3RER9xtqwdhxkhw/edit?usp=sharing"",""นครปฐม!J28"")"),0)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IFERROR(__xludf.DUMMYFUNCTION("IMPORTRANGE(""https://docs.google.com/spreadsheets/d/1SX6NBoVAgQJ6U1MVXOaj8PK2l7WJ3RER9xtqwdhxkhw/edit?usp=sharing"",""นครปฐม!J29"")"),0)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IFERROR(__xludf.DUMMYFUNCTION("IMPORTRANGE(""https://docs.google.com/spreadsheets/d/1SX6NBoVAgQJ6U1MVXOaj8PK2l7WJ3RER9xtqwdhxkhw/edit?usp=sharing"",""นครปฐม!J30"")"),0)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1" t="s">
        <v>17</v>
      </c>
      <c r="E94" s="562"/>
      <c r="F94" s="562"/>
      <c r="G94" s="56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3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IFERROR(__xludf.DUMMYFUNCTION("IMPORTRANGE(""https://docs.google.com/spreadsheets/d/1Yj_ptqi66GCucihVvJfMjLAmec39IyEx_6qawtMGysU/edit?usp=sharing"",""สบก!AR66"")"),0)</f>
        <v>0</v>
      </c>
      <c r="N98" s="169">
        <f ca="1">IFERROR(__xludf.DUMMYFUNCTION("IMPORTRANGE(""https://docs.google.com/spreadsheets/d/1Yj_ptqi66GCucihVvJfMjLAmec39IyEx_6qawtMGysU/edit?usp=sharing"",""สบก!AS66"")"),0)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IFERROR(__xludf.DUMMYFUNCTION("IMPORTRANGE(""https://docs.google.com/spreadsheets/d/1Yj_ptqi66GCucihVvJfMjLAmec39IyEx_6qawtMGysU/edit?usp=sharing"",""สบก!AO66"")"),0)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3" t="s">
        <v>23</v>
      </c>
      <c r="E101" s="56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IFERROR(__xludf.DUMMYFUNCTION("IMPORTRANGE(""https://docs.google.com/spreadsheets/d/1SX6NBoVAgQJ6U1MVXOaj8PK2l7WJ3RER9xtqwdhxkhw/edit?usp=sharing"",""นครปฐม!J39"")"),0)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IFERROR(__xludf.DUMMYFUNCTION("IMPORTRANGE(""https://docs.google.com/spreadsheets/d/1SX6NBoVAgQJ6U1MVXOaj8PK2l7WJ3RER9xtqwdhxkhw/edit?usp=sharing"",""นครปฐม!J40"")"),0)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IFERROR(__xludf.DUMMYFUNCTION("IMPORTRANGE(""https://docs.google.com/spreadsheets/d/1SX6NBoVAgQJ6U1MVXOaj8PK2l7WJ3RER9xtqwdhxkhw/edit?usp=sharing"",""นครปฐม!J41"")"),0)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IFERROR(__xludf.DUMMYFUNCTION("IMPORTRANGE(""https://docs.google.com/spreadsheets/d/1SX6NBoVAgQJ6U1MVXOaj8PK2l7WJ3RER9xtqwdhxkhw/edit?usp=sharing"",""นครปฐม!J42"")"),0)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IFERROR(__xludf.DUMMYFUNCTION("IMPORTRANGE(""https://docs.google.com/spreadsheets/d/1SX6NBoVAgQJ6U1MVXOaj8PK2l7WJ3RER9xtqwdhxkhw/edit?usp=sharing"",""นครปฐม!I43"")"),0)</f>
        <v>0</v>
      </c>
      <c r="J108" s="204">
        <f ca="1">IFERROR(__xludf.DUMMYFUNCTION("IMPORTRANGE(""https://docs.google.com/spreadsheets/d/1SX6NBoVAgQJ6U1MVXOaj8PK2l7WJ3RER9xtqwdhxkhw/edit?usp=sharing"",""นครปฐม!J43"")"),0)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IFERROR(__xludf.DUMMYFUNCTION("IMPORTRANGE(""https://docs.google.com/spreadsheets/d/1SX6NBoVAgQJ6U1MVXOaj8PK2l7WJ3RER9xtqwdhxkhw/edit?usp=sharing"",""นครปฐม!I44"")"),0)</f>
        <v>0</v>
      </c>
      <c r="J109" s="204">
        <f ca="1">IFERROR(__xludf.DUMMYFUNCTION("IMPORTRANGE(""https://docs.google.com/spreadsheets/d/1SX6NBoVAgQJ6U1MVXOaj8PK2l7WJ3RER9xtqwdhxkhw/edit?usp=sharing"",""นครปฐม!J44"")"),0)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IFERROR(__xludf.DUMMYFUNCTION("IMPORTRANGE(""https://docs.google.com/spreadsheets/d/1SX6NBoVAgQJ6U1MVXOaj8PK2l7WJ3RER9xtqwdhxkhw/edit?usp=sharing"",""นครปฐม!I45"")"),0)</f>
        <v>0</v>
      </c>
      <c r="J110" s="204">
        <f ca="1">IFERROR(__xludf.DUMMYFUNCTION("IMPORTRANGE(""https://docs.google.com/spreadsheets/d/1SX6NBoVAgQJ6U1MVXOaj8PK2l7WJ3RER9xtqwdhxkhw/edit?usp=sharing"",""นครปฐม!J45"")"),0)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IFERROR(__xludf.DUMMYFUNCTION("IMPORTRANGE(""https://docs.google.com/spreadsheets/d/1SX6NBoVAgQJ6U1MVXOaj8PK2l7WJ3RER9xtqwdhxkhw/edit?usp=sharing"",""นครปฐม!I46"")"),0)</f>
        <v>0</v>
      </c>
      <c r="J111" s="204">
        <f ca="1">IFERROR(__xludf.DUMMYFUNCTION("IMPORTRANGE(""https://docs.google.com/spreadsheets/d/1SX6NBoVAgQJ6U1MVXOaj8PK2l7WJ3RER9xtqwdhxkhw/edit?usp=sharing"",""นครปฐม!J46"")"),0)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IFERROR(__xludf.DUMMYFUNCTION("IMPORTRANGE(""https://docs.google.com/spreadsheets/d/1SX6NBoVAgQJ6U1MVXOaj8PK2l7WJ3RER9xtqwdhxkhw/edit?usp=sharing"",""นครปฐม!I47"")"),0)</f>
        <v>0</v>
      </c>
      <c r="J112" s="204">
        <f ca="1">IFERROR(__xludf.DUMMYFUNCTION("IMPORTRANGE(""https://docs.google.com/spreadsheets/d/1SX6NBoVAgQJ6U1MVXOaj8PK2l7WJ3RER9xtqwdhxkhw/edit?usp=sharing"",""นครปฐม!J47"")"),0)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IFERROR(__xludf.DUMMYFUNCTION("IMPORTRANGE(""https://docs.google.com/spreadsheets/d/1SX6NBoVAgQJ6U1MVXOaj8PK2l7WJ3RER9xtqwdhxkhw/edit?usp=sharing"",""นครปฐม!I48"")"),0)</f>
        <v>0</v>
      </c>
      <c r="J113" s="204">
        <f ca="1">IFERROR(__xludf.DUMMYFUNCTION("IMPORTRANGE(""https://docs.google.com/spreadsheets/d/1SX6NBoVAgQJ6U1MVXOaj8PK2l7WJ3RER9xtqwdhxkhw/edit?usp=sharing"",""นครปฐม!J48"")"),0)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IFERROR(__xludf.DUMMYFUNCTION("IMPORTRANGE(""https://docs.google.com/spreadsheets/d/1SX6NBoVAgQJ6U1MVXOaj8PK2l7WJ3RER9xtqwdhxkhw/edit?usp=sharing"",""นครปฐม!J49"")"),0)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IFERROR(__xludf.DUMMYFUNCTION("IMPORTRANGE(""https://docs.google.com/spreadsheets/d/1SX6NBoVAgQJ6U1MVXOaj8PK2l7WJ3RER9xtqwdhxkhw/edit?usp=sharing"",""นครปฐม!J50"")"),0)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1" t="s">
        <v>17</v>
      </c>
      <c r="E118" s="562"/>
      <c r="F118" s="562"/>
      <c r="G118" s="56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3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IFERROR(__xludf.DUMMYFUNCTION("IMPORTRANGE(""https://docs.google.com/spreadsheets/d/1Yj_ptqi66GCucihVvJfMjLAmec39IyEx_6qawtMGysU/edit?usp=sharing"",""สบก!BA66"")"),0)</f>
        <v>0</v>
      </c>
      <c r="N122" s="169">
        <f ca="1">IFERROR(__xludf.DUMMYFUNCTION("IMPORTRANGE(""https://docs.google.com/spreadsheets/d/1Yj_ptqi66GCucihVvJfMjLAmec39IyEx_6qawtMGysU/edit?usp=sharing"",""สบก!BB66"")"),0)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IFERROR(__xludf.DUMMYFUNCTION("IMPORTRANGE(""https://docs.google.com/spreadsheets/d/1Yj_ptqi66GCucihVvJfMjLAmec39IyEx_6qawtMGysU/edit?usp=sharing"",""สบก!AX66"")"),0)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3" t="s">
        <v>23</v>
      </c>
      <c r="E125" s="56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IFERROR(__xludf.DUMMYFUNCTION("IMPORTRANGE(""https://docs.google.com/spreadsheets/d/1SX6NBoVAgQJ6U1MVXOaj8PK2l7WJ3RER9xtqwdhxkhw/edit?usp=sharing"",""นครปฐม!J58"")"),0)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IFERROR(__xludf.DUMMYFUNCTION("IMPORTRANGE(""https://docs.google.com/spreadsheets/d/1SX6NBoVAgQJ6U1MVXOaj8PK2l7WJ3RER9xtqwdhxkhw/edit?usp=sharing"",""นครปฐม!J59"")"),0)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IFERROR(__xludf.DUMMYFUNCTION("IMPORTRANGE(""https://docs.google.com/spreadsheets/d/1SX6NBoVAgQJ6U1MVXOaj8PK2l7WJ3RER9xtqwdhxkhw/edit?usp=sharing"",""นครปฐม!J60"")"),0)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IFERROR(__xludf.DUMMYFUNCTION("IMPORTRANGE(""https://docs.google.com/spreadsheets/d/1SX6NBoVAgQJ6U1MVXOaj8PK2l7WJ3RER9xtqwdhxkhw/edit?usp=sharing"",""นครปฐม!J61"")"),0)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IFERROR(__xludf.DUMMYFUNCTION("IMPORTRANGE(""https://docs.google.com/spreadsheets/d/1SX6NBoVAgQJ6U1MVXOaj8PK2l7WJ3RER9xtqwdhxkhw/edit?usp=sharing"",""นครปฐม!I62"")"),0)</f>
        <v>0</v>
      </c>
      <c r="J132" s="204">
        <f ca="1">IFERROR(__xludf.DUMMYFUNCTION("IMPORTRANGE(""https://docs.google.com/spreadsheets/d/1SX6NBoVAgQJ6U1MVXOaj8PK2l7WJ3RER9xtqwdhxkhw/edit?usp=sharing"",""นครปฐม!J62"")"),0)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IFERROR(__xludf.DUMMYFUNCTION("IMPORTRANGE(""https://docs.google.com/spreadsheets/d/1SX6NBoVAgQJ6U1MVXOaj8PK2l7WJ3RER9xtqwdhxkhw/edit?usp=sharing"",""นครปฐม!I63"")"),0)</f>
        <v>0</v>
      </c>
      <c r="J133" s="204">
        <f ca="1">IFERROR(__xludf.DUMMYFUNCTION("IMPORTRANGE(""https://docs.google.com/spreadsheets/d/1SX6NBoVAgQJ6U1MVXOaj8PK2l7WJ3RER9xtqwdhxkhw/edit?usp=sharing"",""นครปฐม!J63"")"),0)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IFERROR(__xludf.DUMMYFUNCTION("IMPORTRANGE(""https://docs.google.com/spreadsheets/d/1SX6NBoVAgQJ6U1MVXOaj8PK2l7WJ3RER9xtqwdhxkhw/edit?usp=sharing"",""นครปฐม!J64"")"),0)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IFERROR(__xludf.DUMMYFUNCTION("IMPORTRANGE(""https://docs.google.com/spreadsheets/d/1SX6NBoVAgQJ6U1MVXOaj8PK2l7WJ3RER9xtqwdhxkhw/edit?usp=sharing"",""นครปฐม!J65"")"),0)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IFERROR(__xludf.DUMMYFUNCTION("IMPORTRANGE(""https://docs.google.com/spreadsheets/d/1SX6NBoVAgQJ6U1MVXOaj8PK2l7WJ3RER9xtqwdhxkhw/edit?usp=sharing"",""นครปฐม!I68"")"),20)</f>
        <v>20</v>
      </c>
      <c r="J138" s="268">
        <f ca="1">IFERROR(__xludf.DUMMYFUNCTION("IMPORTRANGE(""https://docs.google.com/spreadsheets/d/1SX6NBoVAgQJ6U1MVXOaj8PK2l7WJ3RER9xtqwdhxkhw/edit?usp=sharing"",""นครปฐม!J68"")"),20)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1" t="s">
        <v>17</v>
      </c>
      <c r="E140" s="562"/>
      <c r="F140" s="562"/>
      <c r="G140" s="562"/>
      <c r="H140" s="149" t="s">
        <v>12</v>
      </c>
      <c r="I140" s="162"/>
      <c r="J140" s="162"/>
      <c r="K140" s="163"/>
      <c r="L140" s="152">
        <f t="shared" ref="L140:N140" ca="1" si="64">L141+L142</f>
        <v>567900</v>
      </c>
      <c r="M140" s="152">
        <f t="shared" ca="1" si="64"/>
        <v>443925</v>
      </c>
      <c r="N140" s="152">
        <f t="shared" ca="1" si="64"/>
        <v>363624.11</v>
      </c>
      <c r="O140" s="151">
        <f t="shared" ref="O140:O142" ca="1" si="65">IF(L140&gt;0,N140*100/L140,0)</f>
        <v>64.029602042613135</v>
      </c>
      <c r="P140" s="151">
        <f t="shared" ref="P140:P142" ca="1" si="66">IF(M140&gt;0,N140*100/M140,0)</f>
        <v>81.911158416399161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567900</v>
      </c>
      <c r="M142" s="157">
        <f t="shared" ca="1" si="68"/>
        <v>443925</v>
      </c>
      <c r="N142" s="157">
        <f t="shared" ca="1" si="68"/>
        <v>363624.11</v>
      </c>
      <c r="O142" s="156">
        <f t="shared" ca="1" si="65"/>
        <v>64.029602042613135</v>
      </c>
      <c r="P142" s="156">
        <f t="shared" ca="1" si="66"/>
        <v>81.911158416399161</v>
      </c>
    </row>
    <row r="143" spans="1:16" ht="21.75" customHeight="1" x14ac:dyDescent="0.45">
      <c r="A143" s="158"/>
      <c r="B143" s="159"/>
      <c r="C143" s="159" t="s">
        <v>16</v>
      </c>
      <c r="D143" s="563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567900</v>
      </c>
      <c r="M144" s="168">
        <f ca="1">IFERROR(__xludf.DUMMYFUNCTION("IMPORTRANGE(""https://docs.google.com/spreadsheets/d/1Yj_ptqi66GCucihVvJfMjLAmec39IyEx_6qawtMGysU/edit?usp=sharing"",""สบก!BJ66"")"),443925)</f>
        <v>443925</v>
      </c>
      <c r="N144" s="169">
        <f ca="1">IFERROR(__xludf.DUMMYFUNCTION("IMPORTRANGE(""https://docs.google.com/spreadsheets/d/1Yj_ptqi66GCucihVvJfMjLAmec39IyEx_6qawtMGysU/edit?usp=sharing"",""สบก!BK66"")"),363624.11)</f>
        <v>363624.11</v>
      </c>
      <c r="O144" s="169">
        <f ca="1">IF(L144&gt;0,N144*100/L144,0)</f>
        <v>64.029602042613135</v>
      </c>
      <c r="P144" s="169">
        <f ca="1">IF(M144&gt;0,N144*100/M144,0)</f>
        <v>81.911158416399161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IFERROR(__xludf.DUMMYFUNCTION("IMPORTRANGE(""https://docs.google.com/spreadsheets/d/1Yj_ptqi66GCucihVvJfMjLAmec39IyEx_6qawtMGysU/edit?usp=sharing"",""สบก!BF66"")"),310700)</f>
        <v>310700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IFERROR(__xludf.DUMMYFUNCTION("IMPORTRANGE(""https://docs.google.com/spreadsheets/d/1Yj_ptqi66GCucihVvJfMjLAmec39IyEx_6qawtMGysU/edit?usp=sharing"",""สบก!BG66"")"),257200)</f>
        <v>257200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3" t="s">
        <v>23</v>
      </c>
      <c r="E147" s="56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IFERROR(__xludf.DUMMYFUNCTION("IMPORTRANGE(""https://docs.google.com/spreadsheets/d/1SX6NBoVAgQJ6U1MVXOaj8PK2l7WJ3RER9xtqwdhxkhw/edit?usp=sharing"",""นครปฐม!I74"")"),4)</f>
        <v>4</v>
      </c>
      <c r="J149" s="276">
        <f ca="1">IFERROR(__xludf.DUMMYFUNCTION("IMPORTRANGE(""https://docs.google.com/spreadsheets/d/1SX6NBoVAgQJ6U1MVXOaj8PK2l7WJ3RER9xtqwdhxkhw/edit?usp=sharing"",""นครปฐม!J74"")"),2)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IFERROR(__xludf.DUMMYFUNCTION("IMPORTRANGE(""https://docs.google.com/spreadsheets/d/1SX6NBoVAgQJ6U1MVXOaj8PK2l7WJ3RER9xtqwdhxkhw/edit?usp=sharing"",""นครปฐม!J79"")"),0)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IFERROR(__xludf.DUMMYFUNCTION("IMPORTRANGE(""https://docs.google.com/spreadsheets/d/1SX6NBoVAgQJ6U1MVXOaj8PK2l7WJ3RER9xtqwdhxkhw/edit?usp=sharing"",""นครปฐม!J80"")"),1)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IFERROR(__xludf.DUMMYFUNCTION("IMPORTRANGE(""https://docs.google.com/spreadsheets/d/1SX6NBoVAgQJ6U1MVXOaj8PK2l7WJ3RER9xtqwdhxkhw/edit?usp=sharing"",""นครปฐม!J81"")"),1)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IFERROR(__xludf.DUMMYFUNCTION("IMPORTRANGE(""https://docs.google.com/spreadsheets/d/1SX6NBoVAgQJ6U1MVXOaj8PK2l7WJ3RER9xtqwdhxkhw/edit?usp=sharing"",""นครปฐม!J82"")"),1)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IFERROR(__xludf.DUMMYFUNCTION("IMPORTRANGE(""https://docs.google.com/spreadsheets/d/1SX6NBoVAgQJ6U1MVXOaj8PK2l7WJ3RER9xtqwdhxkhw/edit?usp=sharing"",""นครปฐม!I83"")"),4)</f>
        <v>4</v>
      </c>
      <c r="J158" s="189">
        <f ca="1">IFERROR(__xludf.DUMMYFUNCTION("IMPORTRANGE(""https://docs.google.com/spreadsheets/d/1SX6NBoVAgQJ6U1MVXOaj8PK2l7WJ3RER9xtqwdhxkhw/edit?usp=sharing"",""นครปฐม!J83"")"),2)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IFERROR(__xludf.DUMMYFUNCTION("IMPORTRANGE(""https://docs.google.com/spreadsheets/d/1SX6NBoVAgQJ6U1MVXOaj8PK2l7WJ3RER9xtqwdhxkhw/edit?usp=sharing"",""นครปฐม!J84"")"),40)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IFERROR(__xludf.DUMMYFUNCTION("IMPORTRANGE(""https://docs.google.com/spreadsheets/d/1SX6NBoVAgQJ6U1MVXOaj8PK2l7WJ3RER9xtqwdhxkhw/edit?usp=sharing"",""นครปฐม!J85"")"),40)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IFERROR(__xludf.DUMMYFUNCTION("IMPORTRANGE(""https://docs.google.com/spreadsheets/d/1SX6NBoVAgQJ6U1MVXOaj8PK2l7WJ3RER9xtqwdhxkhw/edit?usp=sharing"",""นครปฐม!J86"")"),0)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IFERROR(__xludf.DUMMYFUNCTION("IMPORTRANGE(""https://docs.google.com/spreadsheets/d/1SX6NBoVAgQJ6U1MVXOaj8PK2l7WJ3RER9xtqwdhxkhw/edit?usp=sharing"",""นครปฐม!J87"")"),0)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IFERROR(__xludf.DUMMYFUNCTION("IMPORTRANGE(""https://docs.google.com/spreadsheets/d/1SX6NBoVAgQJ6U1MVXOaj8PK2l7WJ3RER9xtqwdhxkhw/edit?usp=sharing"",""นครปฐม!J88"")"),0)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IFERROR(__xludf.DUMMYFUNCTION("IMPORTRANGE(""https://docs.google.com/spreadsheets/d/1SX6NBoVAgQJ6U1MVXOaj8PK2l7WJ3RER9xtqwdhxkhw/edit?usp=sharing"",""นครปฐม!I89"")"),3)</f>
        <v>3</v>
      </c>
      <c r="J164" s="285">
        <f ca="1">IFERROR(__xludf.DUMMYFUNCTION("IMPORTRANGE(""https://docs.google.com/spreadsheets/d/1SX6NBoVAgQJ6U1MVXOaj8PK2l7WJ3RER9xtqwdhxkhw/edit?usp=sharing"",""นครปฐม!J89"")"),3)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IFERROR(__xludf.DUMMYFUNCTION("IMPORTRANGE(""https://docs.google.com/spreadsheets/d/1SX6NBoVAgQJ6U1MVXOaj8PK2l7WJ3RER9xtqwdhxkhw/edit?usp=sharing"",""นครปฐม!J94"")"),0)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IFERROR(__xludf.DUMMYFUNCTION("IMPORTRANGE(""https://docs.google.com/spreadsheets/d/1SX6NBoVAgQJ6U1MVXOaj8PK2l7WJ3RER9xtqwdhxkhw/edit?usp=sharing"",""นครปฐม!J95"")"),1)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IFERROR(__xludf.DUMMYFUNCTION("IMPORTRANGE(""https://docs.google.com/spreadsheets/d/1SX6NBoVAgQJ6U1MVXOaj8PK2l7WJ3RER9xtqwdhxkhw/edit?usp=sharing"",""นครปฐม!J96"")"),1)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IFERROR(__xludf.DUMMYFUNCTION("IMPORTRANGE(""https://docs.google.com/spreadsheets/d/1SX6NBoVAgQJ6U1MVXOaj8PK2l7WJ3RER9xtqwdhxkhw/edit?usp=sharing"",""นครปฐม!J97"")"),1)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IFERROR(__xludf.DUMMYFUNCTION("IMPORTRANGE(""https://docs.google.com/spreadsheets/d/1SX6NBoVAgQJ6U1MVXOaj8PK2l7WJ3RER9xtqwdhxkhw/edit?usp=sharing"",""นครปฐม!I98"")"),3)</f>
        <v>3</v>
      </c>
      <c r="J173" s="189">
        <f ca="1">IFERROR(__xludf.DUMMYFUNCTION("IMPORTRANGE(""https://docs.google.com/spreadsheets/d/1SX6NBoVAgQJ6U1MVXOaj8PK2l7WJ3RER9xtqwdhxkhw/edit?usp=sharing"",""นครปฐม!J98"")"),3)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IFERROR(__xludf.DUMMYFUNCTION("IMPORTRANGE(""https://docs.google.com/spreadsheets/d/1SX6NBoVAgQJ6U1MVXOaj8PK2l7WJ3RER9xtqwdhxkhw/edit?usp=sharing"",""นครปฐม!J99"")"),0)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IFERROR(__xludf.DUMMYFUNCTION("IMPORTRANGE(""https://docs.google.com/spreadsheets/d/1SX6NBoVAgQJ6U1MVXOaj8PK2l7WJ3RER9xtqwdhxkhw/edit?usp=sharing"",""นครปฐม!J100"")"),0)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IFERROR(__xludf.DUMMYFUNCTION("IMPORTRANGE(""https://docs.google.com/spreadsheets/d/1SX6NBoVAgQJ6U1MVXOaj8PK2l7WJ3RER9xtqwdhxkhw/edit?usp=sharing"",""นครปฐม!I101"")"),0)</f>
        <v>0</v>
      </c>
      <c r="J176" s="285">
        <f ca="1">IFERROR(__xludf.DUMMYFUNCTION("IMPORTRANGE(""https://docs.google.com/spreadsheets/d/1SX6NBoVAgQJ6U1MVXOaj8PK2l7WJ3RER9xtqwdhxkhw/edit?usp=sharing"",""นครปฐม!J101"")"),0)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IFERROR(__xludf.DUMMYFUNCTION("IMPORTRANGE(""https://docs.google.com/spreadsheets/d/1SX6NBoVAgQJ6U1MVXOaj8PK2l7WJ3RER9xtqwdhxkhw/edit?usp=sharing"",""นครปฐม!J106"")"),0)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IFERROR(__xludf.DUMMYFUNCTION("IMPORTRANGE(""https://docs.google.com/spreadsheets/d/1SX6NBoVAgQJ6U1MVXOaj8PK2l7WJ3RER9xtqwdhxkhw/edit?usp=sharing"",""นครปฐม!J107"")"),0)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IFERROR(__xludf.DUMMYFUNCTION("IMPORTRANGE(""https://docs.google.com/spreadsheets/d/1SX6NBoVAgQJ6U1MVXOaj8PK2l7WJ3RER9xtqwdhxkhw/edit?usp=sharing"",""นครปฐม!J108"")"),0)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IFERROR(__xludf.DUMMYFUNCTION("IMPORTRANGE(""https://docs.google.com/spreadsheets/d/1SX6NBoVAgQJ6U1MVXOaj8PK2l7WJ3RER9xtqwdhxkhw/edit?usp=sharing"",""นครปฐม!J109"")"),0)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IFERROR(__xludf.DUMMYFUNCTION("IMPORTRANGE(""https://docs.google.com/spreadsheets/d/1SX6NBoVAgQJ6U1MVXOaj8PK2l7WJ3RER9xtqwdhxkhw/edit?usp=sharing"",""นครปฐม!I110"")"),0)</f>
        <v>0</v>
      </c>
      <c r="J185" s="204">
        <f ca="1">IFERROR(__xludf.DUMMYFUNCTION("IMPORTRANGE(""https://docs.google.com/spreadsheets/d/1SX6NBoVAgQJ6U1MVXOaj8PK2l7WJ3RER9xtqwdhxkhw/edit?usp=sharing"",""นครปฐม!J110"")"),0)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IFERROR(__xludf.DUMMYFUNCTION("IMPORTRANGE(""https://docs.google.com/spreadsheets/d/1SX6NBoVAgQJ6U1MVXOaj8PK2l7WJ3RER9xtqwdhxkhw/edit?usp=sharing"",""นครปฐม!I111"")"),0)</f>
        <v>0</v>
      </c>
      <c r="J186" s="204">
        <f ca="1">IFERROR(__xludf.DUMMYFUNCTION("IMPORTRANGE(""https://docs.google.com/spreadsheets/d/1SX6NBoVAgQJ6U1MVXOaj8PK2l7WJ3RER9xtqwdhxkhw/edit?usp=sharing"",""นครปฐม!J111"")"),0)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IFERROR(__xludf.DUMMYFUNCTION("IMPORTRANGE(""https://docs.google.com/spreadsheets/d/1SX6NBoVAgQJ6U1MVXOaj8PK2l7WJ3RER9xtqwdhxkhw/edit?usp=sharing"",""นครปฐม!J112"")"),0)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IFERROR(__xludf.DUMMYFUNCTION("IMPORTRANGE(""https://docs.google.com/spreadsheets/d/1SX6NBoVAgQJ6U1MVXOaj8PK2l7WJ3RER9xtqwdhxkhw/edit?usp=sharing"",""นครปฐม!J113"")"),0)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IFERROR(__xludf.DUMMYFUNCTION("IMPORTRANGE(""https://docs.google.com/spreadsheets/d/1SX6NBoVAgQJ6U1MVXOaj8PK2l7WJ3RER9xtqwdhxkhw/edit?usp=sharing"",""นครปฐม!I114"")"),5000)</f>
        <v>5000</v>
      </c>
      <c r="J189" s="285">
        <f ca="1">IFERROR(__xludf.DUMMYFUNCTION("IMPORTRANGE(""https://docs.google.com/spreadsheets/d/1SX6NBoVAgQJ6U1MVXOaj8PK2l7WJ3RER9xtqwdhxkhw/edit?usp=sharing"",""นครปฐม!J114"")"),0)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IFERROR(__xludf.DUMMYFUNCTION("IMPORTRANGE(""https://docs.google.com/spreadsheets/d/1SX6NBoVAgQJ6U1MVXOaj8PK2l7WJ3RER9xtqwdhxkhw/edit?usp=sharing"",""นครปฐม!J119"")"),0)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IFERROR(__xludf.DUMMYFUNCTION("IMPORTRANGE(""https://docs.google.com/spreadsheets/d/1SX6NBoVAgQJ6U1MVXOaj8PK2l7WJ3RER9xtqwdhxkhw/edit?usp=sharing"",""นครปฐม!J120"")"),1)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IFERROR(__xludf.DUMMYFUNCTION("IMPORTRANGE(""https://docs.google.com/spreadsheets/d/1SX6NBoVAgQJ6U1MVXOaj8PK2l7WJ3RER9xtqwdhxkhw/edit?usp=sharing"",""นครปฐม!J121"")"),1)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IFERROR(__xludf.DUMMYFUNCTION("IMPORTRANGE(""https://docs.google.com/spreadsheets/d/1SX6NBoVAgQJ6U1MVXOaj8PK2l7WJ3RER9xtqwdhxkhw/edit?usp=sharing"",""นครปฐม!J122"")"),1)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IFERROR(__xludf.DUMMYFUNCTION("IMPORTRANGE(""https://docs.google.com/spreadsheets/d/1SX6NBoVAgQJ6U1MVXOaj8PK2l7WJ3RER9xtqwdhxkhw/edit?usp=sharing"",""นครปฐม!I124"")"),5000)</f>
        <v>5000</v>
      </c>
      <c r="J199" s="189">
        <f ca="1">IFERROR(__xludf.DUMMYFUNCTION("IMPORTRANGE(""https://docs.google.com/spreadsheets/d/1SX6NBoVAgQJ6U1MVXOaj8PK2l7WJ3RER9xtqwdhxkhw/edit?usp=sharing"",""นครปฐม!J124"")"),0)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IFERROR(__xludf.DUMMYFUNCTION("IMPORTRANGE(""https://docs.google.com/spreadsheets/d/1SX6NBoVAgQJ6U1MVXOaj8PK2l7WJ3RER9xtqwdhxkhw/edit?usp=sharing"",""นครปฐม!I125"")"),5000)</f>
        <v>5000</v>
      </c>
      <c r="J200" s="189">
        <f ca="1">IFERROR(__xludf.DUMMYFUNCTION("IMPORTRANGE(""https://docs.google.com/spreadsheets/d/1SX6NBoVAgQJ6U1MVXOaj8PK2l7WJ3RER9xtqwdhxkhw/edit?usp=sharing"",""นครปฐม!J125"")"),0)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IFERROR(__xludf.DUMMYFUNCTION("IMPORTRANGE(""https://docs.google.com/spreadsheets/d/1SX6NBoVAgQJ6U1MVXOaj8PK2l7WJ3RER9xtqwdhxkhw/edit?usp=sharing"",""นครปฐม!I126"")"),0)</f>
        <v>0</v>
      </c>
      <c r="J201" s="189">
        <f ca="1">IFERROR(__xludf.DUMMYFUNCTION("IMPORTRANGE(""https://docs.google.com/spreadsheets/d/1SX6NBoVAgQJ6U1MVXOaj8PK2l7WJ3RER9xtqwdhxkhw/edit?usp=sharing"",""นครปฐม!J126"")"),0)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IFERROR(__xludf.DUMMYFUNCTION("IMPORTRANGE(""https://docs.google.com/spreadsheets/d/1SX6NBoVAgQJ6U1MVXOaj8PK2l7WJ3RER9xtqwdhxkhw/edit?usp=sharing"",""นครปฐม!J127"")"),0)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IFERROR(__xludf.DUMMYFUNCTION("IMPORTRANGE(""https://docs.google.com/spreadsheets/d/1SX6NBoVAgQJ6U1MVXOaj8PK2l7WJ3RER9xtqwdhxkhw/edit?usp=sharing"",""นครปฐม!J128"")"),0)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IFERROR(__xludf.DUMMYFUNCTION("IMPORTRANGE(""https://docs.google.com/spreadsheets/d/1SX6NBoVAgQJ6U1MVXOaj8PK2l7WJ3RER9xtqwdhxkhw/edit?usp=sharing"",""นครปฐม!I129"")"),20)</f>
        <v>20</v>
      </c>
      <c r="J204" s="285">
        <f ca="1">IFERROR(__xludf.DUMMYFUNCTION("IMPORTRANGE(""https://docs.google.com/spreadsheets/d/1SX6NBoVAgQJ6U1MVXOaj8PK2l7WJ3RER9xtqwdhxkhw/edit?usp=sharing"",""นครปฐม!J129"")"),20)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IFERROR(__xludf.DUMMYFUNCTION("IMPORTRANGE(""https://docs.google.com/spreadsheets/d/1SX6NBoVAgQJ6U1MVXOaj8PK2l7WJ3RER9xtqwdhxkhw/edit?usp=sharing"",""นครปฐม!J134"")"),0)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IFERROR(__xludf.DUMMYFUNCTION("IMPORTRANGE(""https://docs.google.com/spreadsheets/d/1SX6NBoVAgQJ6U1MVXOaj8PK2l7WJ3RER9xtqwdhxkhw/edit?usp=sharing"",""นครปฐม!J135"")"),1)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IFERROR(__xludf.DUMMYFUNCTION("IMPORTRANGE(""https://docs.google.com/spreadsheets/d/1SX6NBoVAgQJ6U1MVXOaj8PK2l7WJ3RER9xtqwdhxkhw/edit?usp=sharing"",""นครปฐม!J136"")"),1)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IFERROR(__xludf.DUMMYFUNCTION("IMPORTRANGE(""https://docs.google.com/spreadsheets/d/1SX6NBoVAgQJ6U1MVXOaj8PK2l7WJ3RER9xtqwdhxkhw/edit?usp=sharing"",""นครปฐม!J137"")"),1)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IFERROR(__xludf.DUMMYFUNCTION("IMPORTRANGE(""https://docs.google.com/spreadsheets/d/1SX6NBoVAgQJ6U1MVXOaj8PK2l7WJ3RER9xtqwdhxkhw/edit?usp=sharing"",""นครปฐม!I138"")"),20)</f>
        <v>20</v>
      </c>
      <c r="J213" s="204">
        <f ca="1">IFERROR(__xludf.DUMMYFUNCTION("IMPORTRANGE(""https://docs.google.com/spreadsheets/d/1SX6NBoVAgQJ6U1MVXOaj8PK2l7WJ3RER9xtqwdhxkhw/edit?usp=sharing"",""นครปฐม!J138"")"),20)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IFERROR(__xludf.DUMMYFUNCTION("IMPORTRANGE(""https://docs.google.com/spreadsheets/d/1SX6NBoVAgQJ6U1MVXOaj8PK2l7WJ3RER9xtqwdhxkhw/edit?usp=sharing"",""นครปฐม!I140"")"),0)</f>
        <v>0</v>
      </c>
      <c r="J215" s="204">
        <f ca="1">IFERROR(__xludf.DUMMYFUNCTION("IMPORTRANGE(""https://docs.google.com/spreadsheets/d/1SX6NBoVAgQJ6U1MVXOaj8PK2l7WJ3RER9xtqwdhxkhw/edit?usp=sharing"",""นครปฐม!J140"")"),0)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IFERROR(__xludf.DUMMYFUNCTION("IMPORTRANGE(""https://docs.google.com/spreadsheets/d/1SX6NBoVAgQJ6U1MVXOaj8PK2l7WJ3RER9xtqwdhxkhw/edit?usp=sharing"",""นครปฐม!I141"")"),1)</f>
        <v>1</v>
      </c>
      <c r="J216" s="204">
        <f ca="1">IFERROR(__xludf.DUMMYFUNCTION("IMPORTRANGE(""https://docs.google.com/spreadsheets/d/1SX6NBoVAgQJ6U1MVXOaj8PK2l7WJ3RER9xtqwdhxkhw/edit?usp=sharing"",""นครปฐม!J141"")"),0)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IFERROR(__xludf.DUMMYFUNCTION("IMPORTRANGE(""https://docs.google.com/spreadsheets/d/1SX6NBoVAgQJ6U1MVXOaj8PK2l7WJ3RER9xtqwdhxkhw/edit?usp=sharing"",""นครปฐม!J142"")"),0)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IFERROR(__xludf.DUMMYFUNCTION("IMPORTRANGE(""https://docs.google.com/spreadsheets/d/1SX6NBoVAgQJ6U1MVXOaj8PK2l7WJ3RER9xtqwdhxkhw/edit?usp=sharing"",""นครปฐม!J143"")"),0)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IFERROR(__xludf.DUMMYFUNCTION("IMPORTRANGE(""https://docs.google.com/spreadsheets/d/1SX6NBoVAgQJ6U1MVXOaj8PK2l7WJ3RER9xtqwdhxkhw/edit?usp=sharing"",""นครปฐม!I144"")"),13)</f>
        <v>13</v>
      </c>
      <c r="J219" s="268">
        <f ca="1">IFERROR(__xludf.DUMMYFUNCTION("IMPORTRANGE(""https://docs.google.com/spreadsheets/d/1SX6NBoVAgQJ6U1MVXOaj8PK2l7WJ3RER9xtqwdhxkhw/edit?usp=sharing"",""นครปฐม!J144"")"),13)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1" t="s">
        <v>17</v>
      </c>
      <c r="E220" s="562"/>
      <c r="F220" s="562"/>
      <c r="G220" s="56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3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IFERROR(__xludf.DUMMYFUNCTION("IMPORTRANGE(""https://docs.google.com/spreadsheets/d/1Yj_ptqi66GCucihVvJfMjLAmec39IyEx_6qawtMGysU/edit?usp=sharing"",""สบก!BS66"")"),19295)</f>
        <v>19295</v>
      </c>
      <c r="N224" s="169">
        <f ca="1">IFERROR(__xludf.DUMMYFUNCTION("IMPORTRANGE(""https://docs.google.com/spreadsheets/d/1Yj_ptqi66GCucihVvJfMjLAmec39IyEx_6qawtMGysU/edit?usp=sharing"",""สบก!BT66"")"),19295)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IFERROR(__xludf.DUMMYFUNCTION("IMPORTRANGE(""https://docs.google.com/spreadsheets/d/1Yj_ptqi66GCucihVvJfMjLAmec39IyEx_6qawtMGysU/edit?usp=sharing"",""สบก!BP66"")"),19295)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3" t="s">
        <v>23</v>
      </c>
      <c r="E227" s="56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IFERROR(__xludf.DUMMYFUNCTION("IMPORTRANGE(""https://docs.google.com/spreadsheets/d/1SX6NBoVAgQJ6U1MVXOaj8PK2l7WJ3RER9xtqwdhxkhw/edit?usp=sharing"",""นครปฐม!I149"")"),13)</f>
        <v>13</v>
      </c>
      <c r="J229" s="268">
        <f ca="1">IFERROR(__xludf.DUMMYFUNCTION("IMPORTRANGE(""https://docs.google.com/spreadsheets/d/1SX6NBoVAgQJ6U1MVXOaj8PK2l7WJ3RER9xtqwdhxkhw/edit?usp=sharing"",""นครปฐม!J149"")"),13)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IFERROR(__xludf.DUMMYFUNCTION("IMPORTRANGE(""https://docs.google.com/spreadsheets/d/1SX6NBoVAgQJ6U1MVXOaj8PK2l7WJ3RER9xtqwdhxkhw/edit?usp=sharing"",""นครปฐม!J151"")"),0)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IFERROR(__xludf.DUMMYFUNCTION("IMPORTRANGE(""https://docs.google.com/spreadsheets/d/1SX6NBoVAgQJ6U1MVXOaj8PK2l7WJ3RER9xtqwdhxkhw/edit?usp=sharing"",""นครปฐม!J152"")"),0)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IFERROR(__xludf.DUMMYFUNCTION("IMPORTRANGE(""https://docs.google.com/spreadsheets/d/1SX6NBoVAgQJ6U1MVXOaj8PK2l7WJ3RER9xtqwdhxkhw/edit?usp=sharing"",""นครปฐม!J153"")"),0)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IFERROR(__xludf.DUMMYFUNCTION("IMPORTRANGE(""https://docs.google.com/spreadsheets/d/1SX6NBoVAgQJ6U1MVXOaj8PK2l7WJ3RER9xtqwdhxkhw/edit?usp=sharing"",""นครปฐม!J154"")"),0)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IFERROR(__xludf.DUMMYFUNCTION("IMPORTRANGE(""https://docs.google.com/spreadsheets/d/1SX6NBoVAgQJ6U1MVXOaj8PK2l7WJ3RER9xtqwdhxkhw/edit?usp=sharing"",""นครปฐม!I155"")"),13)</f>
        <v>13</v>
      </c>
      <c r="J235" s="189">
        <f ca="1">IFERROR(__xludf.DUMMYFUNCTION("IMPORTRANGE(""https://docs.google.com/spreadsheets/d/1SX6NBoVAgQJ6U1MVXOaj8PK2l7WJ3RER9xtqwdhxkhw/edit?usp=sharing"",""นครปฐม!J155"")"),13)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IFERROR(__xludf.DUMMYFUNCTION("IMPORTRANGE(""https://docs.google.com/spreadsheets/d/1SX6NBoVAgQJ6U1MVXOaj8PK2l7WJ3RER9xtqwdhxkhw/edit?usp=sharing"",""นครปฐม!J156"")"),0)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IFERROR(__xludf.DUMMYFUNCTION("IMPORTRANGE(""https://docs.google.com/spreadsheets/d/1SX6NBoVAgQJ6U1MVXOaj8PK2l7WJ3RER9xtqwdhxkhw/edit?usp=sharing"",""นครปฐม!J157"")"),1)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IFERROR(__xludf.DUMMYFUNCTION("IMPORTRANGE(""https://docs.google.com/spreadsheets/d/1SX6NBoVAgQJ6U1MVXOaj8PK2l7WJ3RER9xtqwdhxkhw/edit?usp=sharing"",""นครปฐม!I158"")"),0)</f>
        <v>0</v>
      </c>
      <c r="J238" s="268">
        <f ca="1">IFERROR(__xludf.DUMMYFUNCTION("IMPORTRANGE(""https://docs.google.com/spreadsheets/d/1SX6NBoVAgQJ6U1MVXOaj8PK2l7WJ3RER9xtqwdhxkhw/edit?usp=sharing"",""นครปฐม!J158"")"),0)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IFERROR(__xludf.DUMMYFUNCTION("IMPORTRANGE(""https://docs.google.com/spreadsheets/d/1SX6NBoVAgQJ6U1MVXOaj8PK2l7WJ3RER9xtqwdhxkhw/edit?usp=sharing"",""นครปฐม!J159"")"),"")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IFERROR(__xludf.DUMMYFUNCTION("IMPORTRANGE(""https://docs.google.com/spreadsheets/d/1SX6NBoVAgQJ6U1MVXOaj8PK2l7WJ3RER9xtqwdhxkhw/edit?usp=sharing"",""นครปฐม!J161"")"),0)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IFERROR(__xludf.DUMMYFUNCTION("IMPORTRANGE(""https://docs.google.com/spreadsheets/d/1SX6NBoVAgQJ6U1MVXOaj8PK2l7WJ3RER9xtqwdhxkhw/edit?usp=sharing"",""นครปฐม!J162"")"),0)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IFERROR(__xludf.DUMMYFUNCTION("IMPORTRANGE(""https://docs.google.com/spreadsheets/d/1SX6NBoVAgQJ6U1MVXOaj8PK2l7WJ3RER9xtqwdhxkhw/edit?usp=sharing"",""นครปฐม!J163"")"),0)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IFERROR(__xludf.DUMMYFUNCTION("IMPORTRANGE(""https://docs.google.com/spreadsheets/d/1SX6NBoVAgQJ6U1MVXOaj8PK2l7WJ3RER9xtqwdhxkhw/edit?usp=sharing"",""นครปฐม!I164"")"),0)</f>
        <v>0</v>
      </c>
      <c r="J244" s="188">
        <f ca="1">IFERROR(__xludf.DUMMYFUNCTION("IMPORTRANGE(""https://docs.google.com/spreadsheets/d/1SX6NBoVAgQJ6U1MVXOaj8PK2l7WJ3RER9xtqwdhxkhw/edit?usp=sharing"",""นครปฐม!J164"")"),0)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IFERROR(__xludf.DUMMYFUNCTION("IMPORTRANGE(""https://docs.google.com/spreadsheets/d/1SX6NBoVAgQJ6U1MVXOaj8PK2l7WJ3RER9xtqwdhxkhw/edit?usp=sharing"",""นครปฐม!J165"")"),0)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IFERROR(__xludf.DUMMYFUNCTION("IMPORTRANGE(""https://docs.google.com/spreadsheets/d/1SX6NBoVAgQJ6U1MVXOaj8PK2l7WJ3RER9xtqwdhxkhw/edit?usp=sharing"",""นครปฐม!J166"")"),0)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IFERROR(__xludf.DUMMYFUNCTION("IMPORTRANGE(""https://docs.google.com/spreadsheets/d/1SX6NBoVAgQJ6U1MVXOaj8PK2l7WJ3RER9xtqwdhxkhw/edit?usp=sharing"",""นครปฐม!I169"")"),0)</f>
        <v>0</v>
      </c>
      <c r="J249" s="317">
        <f ca="1">IFERROR(__xludf.DUMMYFUNCTION("IMPORTRANGE(""https://docs.google.com/spreadsheets/d/1SX6NBoVAgQJ6U1MVXOaj8PK2l7WJ3RER9xtqwdhxkhw/edit?usp=sharing"",""นครปฐม!J169"")"),0)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1" t="s">
        <v>17</v>
      </c>
      <c r="E250" s="562"/>
      <c r="F250" s="562"/>
      <c r="G250" s="56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3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IFERROR(__xludf.DUMMYFUNCTION("IMPORTRANGE(""https://docs.google.com/spreadsheets/d/1Yj_ptqi66GCucihVvJfMjLAmec39IyEx_6qawtMGysU/edit?usp=sharing"",""สบก!CB66"")"),0)</f>
        <v>0</v>
      </c>
      <c r="N254" s="169">
        <f ca="1">IFERROR(__xludf.DUMMYFUNCTION("IMPORTRANGE(""https://docs.google.com/spreadsheets/d/1Yj_ptqi66GCucihVvJfMjLAmec39IyEx_6qawtMGysU/edit?usp=sharing"",""สบก!CC66"")"),0)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IFERROR(__xludf.DUMMYFUNCTION("IMPORTRANGE(""https://docs.google.com/spreadsheets/d/1Yj_ptqi66GCucihVvJfMjLAmec39IyEx_6qawtMGysU/edit?usp=sharing"",""สบก!BY66"")"),0)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3" t="s">
        <v>23</v>
      </c>
      <c r="E257" s="56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IFERROR(__xludf.DUMMYFUNCTION("IMPORTRANGE(""https://docs.google.com/spreadsheets/d/1SX6NBoVAgQJ6U1MVXOaj8PK2l7WJ3RER9xtqwdhxkhw/edit?usp=sharing"",""นครปฐม!J175"")"),0)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IFERROR(__xludf.DUMMYFUNCTION("IMPORTRANGE(""https://docs.google.com/spreadsheets/d/1SX6NBoVAgQJ6U1MVXOaj8PK2l7WJ3RER9xtqwdhxkhw/edit?usp=sharing"",""นครปฐม!J176"")"),0)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IFERROR(__xludf.DUMMYFUNCTION("IMPORTRANGE(""https://docs.google.com/spreadsheets/d/1SX6NBoVAgQJ6U1MVXOaj8PK2l7WJ3RER9xtqwdhxkhw/edit?usp=sharing"",""นครปฐม!J177"")"),0)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IFERROR(__xludf.DUMMYFUNCTION("IMPORTRANGE(""https://docs.google.com/spreadsheets/d/1SX6NBoVAgQJ6U1MVXOaj8PK2l7WJ3RER9xtqwdhxkhw/edit?usp=sharing"",""นครปฐม!J178"")"),0)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IFERROR(__xludf.DUMMYFUNCTION("IMPORTRANGE(""https://docs.google.com/spreadsheets/d/1SX6NBoVAgQJ6U1MVXOaj8PK2l7WJ3RER9xtqwdhxkhw/edit?usp=sharing"",""นครปฐม!I179"")"),0)</f>
        <v>0</v>
      </c>
      <c r="J264" s="189">
        <f ca="1">IFERROR(__xludf.DUMMYFUNCTION("IMPORTRANGE(""https://docs.google.com/spreadsheets/d/1SX6NBoVAgQJ6U1MVXOaj8PK2l7WJ3RER9xtqwdhxkhw/edit?usp=sharing"",""นครปฐม!J179"")"),0)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IFERROR(__xludf.DUMMYFUNCTION("IMPORTRANGE(""https://docs.google.com/spreadsheets/d/1SX6NBoVAgQJ6U1MVXOaj8PK2l7WJ3RER9xtqwdhxkhw/edit?usp=sharing"",""นครปฐม!I180"")"),0)</f>
        <v>0</v>
      </c>
      <c r="J265" s="189">
        <f ca="1">IFERROR(__xludf.DUMMYFUNCTION("IMPORTRANGE(""https://docs.google.com/spreadsheets/d/1SX6NBoVAgQJ6U1MVXOaj8PK2l7WJ3RER9xtqwdhxkhw/edit?usp=sharing"",""นครปฐม!J180"")"),0)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IFERROR(__xludf.DUMMYFUNCTION("IMPORTRANGE(""https://docs.google.com/spreadsheets/d/1SX6NBoVAgQJ6U1MVXOaj8PK2l7WJ3RER9xtqwdhxkhw/edit?usp=sharing"",""นครปฐม!I181"")"),0)</f>
        <v>0</v>
      </c>
      <c r="J266" s="189">
        <f ca="1">IFERROR(__xludf.DUMMYFUNCTION("IMPORTRANGE(""https://docs.google.com/spreadsheets/d/1SX6NBoVAgQJ6U1MVXOaj8PK2l7WJ3RER9xtqwdhxkhw/edit?usp=sharing"",""นครปฐม!J181"")"),0)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IFERROR(__xludf.DUMMYFUNCTION("IMPORTRANGE(""https://docs.google.com/spreadsheets/d/1SX6NBoVAgQJ6U1MVXOaj8PK2l7WJ3RER9xtqwdhxkhw/edit?usp=sharing"",""นครปฐม!I182"")"),0)</f>
        <v>0</v>
      </c>
      <c r="J267" s="189">
        <f ca="1">IFERROR(__xludf.DUMMYFUNCTION("IMPORTRANGE(""https://docs.google.com/spreadsheets/d/1SX6NBoVAgQJ6U1MVXOaj8PK2l7WJ3RER9xtqwdhxkhw/edit?usp=sharing"",""นครปฐม!J182"")"),0)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IFERROR(__xludf.DUMMYFUNCTION("IMPORTRANGE(""https://docs.google.com/spreadsheets/d/1SX6NBoVAgQJ6U1MVXOaj8PK2l7WJ3RER9xtqwdhxkhw/edit?usp=sharing"",""นครปฐม!J183"")"),0)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IFERROR(__xludf.DUMMYFUNCTION("IMPORTRANGE(""https://docs.google.com/spreadsheets/d/1SX6NBoVAgQJ6U1MVXOaj8PK2l7WJ3RER9xtqwdhxkhw/edit?usp=sharing"",""นครปฐม!J184"")"),0)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IFERROR(__xludf.DUMMYFUNCTION("IMPORTRANGE(""https://docs.google.com/spreadsheets/d/1SX6NBoVAgQJ6U1MVXOaj8PK2l7WJ3RER9xtqwdhxkhw/edit?usp=sharing"",""นครปฐม!I185"")"),0)</f>
        <v>0</v>
      </c>
      <c r="J270" s="317">
        <f ca="1">IFERROR(__xludf.DUMMYFUNCTION("IMPORTRANGE(""https://docs.google.com/spreadsheets/d/1SX6NBoVAgQJ6U1MVXOaj8PK2l7WJ3RER9xtqwdhxkhw/edit?usp=sharing"",""นครปฐม!J185"")"),0)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1" t="s">
        <v>17</v>
      </c>
      <c r="E271" s="562"/>
      <c r="F271" s="562"/>
      <c r="G271" s="56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3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IFERROR(__xludf.DUMMYFUNCTION("IMPORTRANGE(""https://docs.google.com/spreadsheets/d/1Yj_ptqi66GCucihVvJfMjLAmec39IyEx_6qawtMGysU/edit?usp=sharing"",""สบก!CK66"")"),0)</f>
        <v>0</v>
      </c>
      <c r="N275" s="169">
        <f ca="1">IFERROR(__xludf.DUMMYFUNCTION("IMPORTRANGE(""https://docs.google.com/spreadsheets/d/1Yj_ptqi66GCucihVvJfMjLAmec39IyEx_6qawtMGysU/edit?usp=sharing"",""สบก!CL66"")"),0)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IFERROR(__xludf.DUMMYFUNCTION("IMPORTRANGE(""https://docs.google.com/spreadsheets/d/1Yj_ptqi66GCucihVvJfMjLAmec39IyEx_6qawtMGysU/edit?usp=sharing"",""สบก!CH66"")"),0)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3" t="s">
        <v>23</v>
      </c>
      <c r="E278" s="56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IFERROR(__xludf.DUMMYFUNCTION("IMPORTRANGE(""https://docs.google.com/spreadsheets/d/1SX6NBoVAgQJ6U1MVXOaj8PK2l7WJ3RER9xtqwdhxkhw/edit?usp=sharing"",""นครปฐม!J191"")"),0)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IFERROR(__xludf.DUMMYFUNCTION("IMPORTRANGE(""https://docs.google.com/spreadsheets/d/1SX6NBoVAgQJ6U1MVXOaj8PK2l7WJ3RER9xtqwdhxkhw/edit?usp=sharing"",""นครปฐม!J192"")"),0)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IFERROR(__xludf.DUMMYFUNCTION("IMPORTRANGE(""https://docs.google.com/spreadsheets/d/1SX6NBoVAgQJ6U1MVXOaj8PK2l7WJ3RER9xtqwdhxkhw/edit?usp=sharing"",""นครปฐม!J193"")"),0)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IFERROR(__xludf.DUMMYFUNCTION("IMPORTRANGE(""https://docs.google.com/spreadsheets/d/1SX6NBoVAgQJ6U1MVXOaj8PK2l7WJ3RER9xtqwdhxkhw/edit?usp=sharing"",""นครปฐม!J194"")"),0)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IFERROR(__xludf.DUMMYFUNCTION("IMPORTRANGE(""https://docs.google.com/spreadsheets/d/1SX6NBoVAgQJ6U1MVXOaj8PK2l7WJ3RER9xtqwdhxkhw/edit?usp=sharing"",""นครปฐม!I195"")"),0)</f>
        <v>0</v>
      </c>
      <c r="J285" s="189">
        <f ca="1">IFERROR(__xludf.DUMMYFUNCTION("IMPORTRANGE(""https://docs.google.com/spreadsheets/d/1SX6NBoVAgQJ6U1MVXOaj8PK2l7WJ3RER9xtqwdhxkhw/edit?usp=sharing"",""นครปฐม!J195"")"),0)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IFERROR(__xludf.DUMMYFUNCTION("IMPORTRANGE(""https://docs.google.com/spreadsheets/d/1SX6NBoVAgQJ6U1MVXOaj8PK2l7WJ3RER9xtqwdhxkhw/edit?usp=sharing"",""นครปฐม!J196"")"),0)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IFERROR(__xludf.DUMMYFUNCTION("IMPORTRANGE(""https://docs.google.com/spreadsheets/d/1SX6NBoVAgQJ6U1MVXOaj8PK2l7WJ3RER9xtqwdhxkhw/edit?usp=sharing"",""นครปฐม!J197"")"),0)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IFERROR(__xludf.DUMMYFUNCTION("IMPORTRANGE(""https://docs.google.com/spreadsheets/d/1SX6NBoVAgQJ6U1MVXOaj8PK2l7WJ3RER9xtqwdhxkhw/edit?usp=sharing"",""นครปฐม!I199"")"),0)</f>
        <v>0</v>
      </c>
      <c r="J289" s="317">
        <f ca="1">IFERROR(__xludf.DUMMYFUNCTION("IMPORTRANGE(""https://docs.google.com/spreadsheets/d/1SX6NBoVAgQJ6U1MVXOaj8PK2l7WJ3RER9xtqwdhxkhw/edit?usp=sharing"",""นครปฐม!J199"")"),0)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1" t="s">
        <v>17</v>
      </c>
      <c r="E290" s="562"/>
      <c r="F290" s="562"/>
      <c r="G290" s="56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3" t="s">
        <v>20</v>
      </c>
      <c r="E293" s="564"/>
      <c r="F293" s="56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IFERROR(__xludf.DUMMYFUNCTION("IMPORTRANGE(""https://docs.google.com/spreadsheets/d/1Yj_ptqi66GCucihVvJfMjLAmec39IyEx_6qawtMGysU/edit?usp=sharing"",""สบก!CT66"")"),0)</f>
        <v>0</v>
      </c>
      <c r="N294" s="169">
        <f ca="1">IFERROR(__xludf.DUMMYFUNCTION("IMPORTRANGE(""https://docs.google.com/spreadsheets/d/1Yj_ptqi66GCucihVvJfMjLAmec39IyEx_6qawtMGysU/edit?usp=sharing"",""สบก!CU66"")"),0)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3" t="s">
        <v>23</v>
      </c>
      <c r="E297" s="56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IFERROR(__xludf.DUMMYFUNCTION("IMPORTRANGE(""https://docs.google.com/spreadsheets/d/1SX6NBoVAgQJ6U1MVXOaj8PK2l7WJ3RER9xtqwdhxkhw/edit?usp=sharing"",""นครปฐม!J205"")"),0)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IFERROR(__xludf.DUMMYFUNCTION("IMPORTRANGE(""https://docs.google.com/spreadsheets/d/1SX6NBoVAgQJ6U1MVXOaj8PK2l7WJ3RER9xtqwdhxkhw/edit?usp=sharing"",""นครปฐม!J206"")"),0)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IFERROR(__xludf.DUMMYFUNCTION("IMPORTRANGE(""https://docs.google.com/spreadsheets/d/1SX6NBoVAgQJ6U1MVXOaj8PK2l7WJ3RER9xtqwdhxkhw/edit?usp=sharing"",""นครปฐม!J207"")"),0)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IFERROR(__xludf.DUMMYFUNCTION("IMPORTRANGE(""https://docs.google.com/spreadsheets/d/1SX6NBoVAgQJ6U1MVXOaj8PK2l7WJ3RER9xtqwdhxkhw/edit?usp=sharing"",""นครปฐม!J208"")"),0)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IFERROR(__xludf.DUMMYFUNCTION("IMPORTRANGE(""https://docs.google.com/spreadsheets/d/1SX6NBoVAgQJ6U1MVXOaj8PK2l7WJ3RER9xtqwdhxkhw/edit?usp=sharing"",""นครปฐม!I209"")"),0)</f>
        <v>0</v>
      </c>
      <c r="J304" s="204">
        <f ca="1">IFERROR(__xludf.DUMMYFUNCTION("IMPORTRANGE(""https://docs.google.com/spreadsheets/d/1SX6NBoVAgQJ6U1MVXOaj8PK2l7WJ3RER9xtqwdhxkhw/edit?usp=sharing"",""นครปฐม!J209"")"),0)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IFERROR(__xludf.DUMMYFUNCTION("IMPORTRANGE(""https://docs.google.com/spreadsheets/d/1SX6NBoVAgQJ6U1MVXOaj8PK2l7WJ3RER9xtqwdhxkhw/edit?usp=sharing"",""นครปฐม!I211"")"),0)</f>
        <v>0</v>
      </c>
      <c r="J306" s="204">
        <f ca="1">IFERROR(__xludf.DUMMYFUNCTION("IMPORTRANGE(""https://docs.google.com/spreadsheets/d/1SX6NBoVAgQJ6U1MVXOaj8PK2l7WJ3RER9xtqwdhxkhw/edit?usp=sharing"",""นครปฐม!J211"")"),0)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IFERROR(__xludf.DUMMYFUNCTION("IMPORTRANGE(""https://docs.google.com/spreadsheets/d/1SX6NBoVAgQJ6U1MVXOaj8PK2l7WJ3RER9xtqwdhxkhw/edit?usp=sharing"",""นครปฐม!J212"")"),0)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IFERROR(__xludf.DUMMYFUNCTION("IMPORTRANGE(""https://docs.google.com/spreadsheets/d/1SX6NBoVAgQJ6U1MVXOaj8PK2l7WJ3RER9xtqwdhxkhw/edit?usp=sharing"",""นครปฐม!J213"")"),0)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IFERROR(__xludf.DUMMYFUNCTION("IMPORTRANGE(""https://docs.google.com/spreadsheets/d/1SX6NBoVAgQJ6U1MVXOaj8PK2l7WJ3RER9xtqwdhxkhw/edit?usp=sharing"",""นครปฐม!I214"")"),0)</f>
        <v>0</v>
      </c>
      <c r="J309" s="334">
        <f ca="1">IFERROR(__xludf.DUMMYFUNCTION("IMPORTRANGE(""https://docs.google.com/spreadsheets/d/1SX6NBoVAgQJ6U1MVXOaj8PK2l7WJ3RER9xtqwdhxkhw/edit?usp=sharing"",""นครปฐม!J214"")"),0)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1" t="s">
        <v>17</v>
      </c>
      <c r="E310" s="562"/>
      <c r="F310" s="562"/>
      <c r="G310" s="56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3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IFERROR(__xludf.DUMMYFUNCTION("IMPORTRANGE(""https://docs.google.com/spreadsheets/d/1Yj_ptqi66GCucihVvJfMjLAmec39IyEx_6qawtMGysU/edit?usp=sharing"",""สบก!DC66"")"),0)</f>
        <v>0</v>
      </c>
      <c r="N314" s="169">
        <f ca="1">IFERROR(__xludf.DUMMYFUNCTION("IMPORTRANGE(""https://docs.google.com/spreadsheets/d/1Yj_ptqi66GCucihVvJfMjLAmec39IyEx_6qawtMGysU/edit?usp=sharing"",""สบก!DD66"")"),0)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3" t="s">
        <v>23</v>
      </c>
      <c r="E317" s="56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IFERROR(__xludf.DUMMYFUNCTION("IMPORTRANGE(""https://docs.google.com/spreadsheets/d/1SX6NBoVAgQJ6U1MVXOaj8PK2l7WJ3RER9xtqwdhxkhw/edit?usp=sharing"",""นครปฐม!J220"")"),0)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IFERROR(__xludf.DUMMYFUNCTION("IMPORTRANGE(""https://docs.google.com/spreadsheets/d/1SX6NBoVAgQJ6U1MVXOaj8PK2l7WJ3RER9xtqwdhxkhw/edit?usp=sharing"",""นครปฐม!J221"")"),0)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IFERROR(__xludf.DUMMYFUNCTION("IMPORTRANGE(""https://docs.google.com/spreadsheets/d/1SX6NBoVAgQJ6U1MVXOaj8PK2l7WJ3RER9xtqwdhxkhw/edit?usp=sharing"",""นครปฐม!J222"")"),0)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IFERROR(__xludf.DUMMYFUNCTION("IMPORTRANGE(""https://docs.google.com/spreadsheets/d/1SX6NBoVAgQJ6U1MVXOaj8PK2l7WJ3RER9xtqwdhxkhw/edit?usp=sharing"",""นครปฐม!J223"")"),0)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IFERROR(__xludf.DUMMYFUNCTION("IMPORTRANGE(""https://docs.google.com/spreadsheets/d/1SX6NBoVAgQJ6U1MVXOaj8PK2l7WJ3RER9xtqwdhxkhw/edit?usp=sharing"",""นครปฐม!I224"")"),0)</f>
        <v>0</v>
      </c>
      <c r="J324" s="204">
        <f ca="1">IFERROR(__xludf.DUMMYFUNCTION("IMPORTRANGE(""https://docs.google.com/spreadsheets/d/1SX6NBoVAgQJ6U1MVXOaj8PK2l7WJ3RER9xtqwdhxkhw/edit?usp=sharing"",""นครปฐม!J224"")"),0)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IFERROR(__xludf.DUMMYFUNCTION("IMPORTRANGE(""https://docs.google.com/spreadsheets/d/1SX6NBoVAgQJ6U1MVXOaj8PK2l7WJ3RER9xtqwdhxkhw/edit?usp=sharing"",""นครปฐม!J225"")"),0)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IFERROR(__xludf.DUMMYFUNCTION("IMPORTRANGE(""https://docs.google.com/spreadsheets/d/1SX6NBoVAgQJ6U1MVXOaj8PK2l7WJ3RER9xtqwdhxkhw/edit?usp=sharing"",""นครปฐม!J226"")"),0)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IFERROR(__xludf.DUMMYFUNCTION("IMPORTRANGE(""https://docs.google.com/spreadsheets/d/1SX6NBoVAgQJ6U1MVXOaj8PK2l7WJ3RER9xtqwdhxkhw/edit?usp=sharing"",""นครปฐม!I228"")"),0)</f>
        <v>0</v>
      </c>
      <c r="J328" s="340">
        <f ca="1">IFERROR(__xludf.DUMMYFUNCTION("IMPORTRANGE(""https://docs.google.com/spreadsheets/d/1SX6NBoVAgQJ6U1MVXOaj8PK2l7WJ3RER9xtqwdhxkhw/edit?usp=sharing"",""นครปฐม!J228"")"),0)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1" t="s">
        <v>17</v>
      </c>
      <c r="E329" s="562"/>
      <c r="F329" s="562"/>
      <c r="G329" s="562"/>
      <c r="H329" s="149" t="s">
        <v>12</v>
      </c>
      <c r="I329" s="162"/>
      <c r="J329" s="162"/>
      <c r="K329" s="163"/>
      <c r="L329" s="152">
        <f t="shared" ref="L329:N329" ca="1" si="98">L330+L331</f>
        <v>628660</v>
      </c>
      <c r="M329" s="152">
        <f t="shared" ca="1" si="98"/>
        <v>497110</v>
      </c>
      <c r="N329" s="152">
        <f t="shared" ca="1" si="98"/>
        <v>393170</v>
      </c>
      <c r="O329" s="151">
        <f t="shared" ref="O329:O331" ca="1" si="99">IF(L329&gt;0,N329*100/L329,0)</f>
        <v>62.540960137435178</v>
      </c>
      <c r="P329" s="151">
        <f t="shared" ref="P329:P331" ca="1" si="100">IF(M329&gt;0,N329*100/M329,0)</f>
        <v>79.091146828669707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628660</v>
      </c>
      <c r="M331" s="157">
        <f t="shared" ca="1" si="102"/>
        <v>497110</v>
      </c>
      <c r="N331" s="157">
        <f t="shared" ca="1" si="102"/>
        <v>393170</v>
      </c>
      <c r="O331" s="156">
        <f t="shared" ca="1" si="99"/>
        <v>62.540960137435178</v>
      </c>
      <c r="P331" s="156">
        <f t="shared" ca="1" si="100"/>
        <v>79.091146828669707</v>
      </c>
    </row>
    <row r="332" spans="1:16" ht="21.75" customHeight="1" x14ac:dyDescent="0.45">
      <c r="A332" s="158"/>
      <c r="B332" s="159"/>
      <c r="C332" s="159" t="s">
        <v>16</v>
      </c>
      <c r="D332" s="563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IFERROR(__xludf.DUMMYFUNCTION("IMPORTRANGE(""https://docs.google.com/spreadsheets/d/1Yj_ptqi66GCucihVvJfMjLAmec39IyEx_6qawtMGysU/edit?usp=sharing"",""สบก!DL66"")"),354560)</f>
        <v>354560</v>
      </c>
      <c r="N333" s="169">
        <f ca="1">IFERROR(__xludf.DUMMYFUNCTION("IMPORTRANGE(""https://docs.google.com/spreadsheets/d/1Yj_ptqi66GCucihVvJfMjLAmec39IyEx_6qawtMGysU/edit?usp=sharing"",""สบก!DM66"")"),250620)</f>
        <v>250620</v>
      </c>
      <c r="O333" s="169">
        <f ca="1">IF(L333&gt;0,N333*100/L333,0)</f>
        <v>51.556232128530581</v>
      </c>
      <c r="P333" s="169">
        <f ca="1">IF(M333&gt;0,N333*100/M333,0)</f>
        <v>70.68479241877256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IFERROR(__xludf.DUMMYFUNCTION("IMPORTRANGE(""https://docs.google.com/spreadsheets/d/1Yj_ptqi66GCucihVvJfMjLAmec39IyEx_6qawtMGysU/edit?usp=sharing"",""สบก!DH66"")"),306000)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IFERROR(__xludf.DUMMYFUNCTION("IMPORTRANGE(""https://docs.google.com/spreadsheets/d/1Yj_ptqi66GCucihVvJfMjLAmec39IyEx_6qawtMGysU/edit?usp=sharing"",""สบก!DI66"")"),180110)</f>
        <v>180110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3" t="s">
        <v>23</v>
      </c>
      <c r="E336" s="56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IFERROR(__xludf.DUMMYFUNCTION("IMPORTRANGE(""https://docs.google.com/spreadsheets/d/1Yj_ptqi66GCucihVvJfMjLAmec39IyEx_6qawtMGysU/edit?usp=sharing"",""สบก!DJ66"")"),142550)</f>
        <v>142550</v>
      </c>
      <c r="M337" s="49">
        <f ca="1">L337</f>
        <v>142550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IFERROR(__xludf.DUMMYFUNCTION("IMPORTRANGE(""https://docs.google.com/spreadsheets/d/1SX6NBoVAgQJ6U1MVXOaj8PK2l7WJ3RER9xtqwdhxkhw/edit?usp=sharing"",""นครปฐม!I234"")"),0)</f>
        <v>0</v>
      </c>
      <c r="J339" s="188">
        <f ca="1">IFERROR(__xludf.DUMMYFUNCTION("IMPORTRANGE(""https://docs.google.com/spreadsheets/d/1SX6NBoVAgQJ6U1MVXOaj8PK2l7WJ3RER9xtqwdhxkhw/edit?usp=sharing"",""นครปฐม!J234"")"),0)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IFERROR(__xludf.DUMMYFUNCTION("IMPORTRANGE(""https://docs.google.com/spreadsheets/d/1SX6NBoVAgQJ6U1MVXOaj8PK2l7WJ3RER9xtqwdhxkhw/edit?usp=sharing"",""นครปฐม!I235"")"),0)</f>
        <v>0</v>
      </c>
      <c r="J340" s="188">
        <f ca="1">IFERROR(__xludf.DUMMYFUNCTION("IMPORTRANGE(""https://docs.google.com/spreadsheets/d/1SX6NBoVAgQJ6U1MVXOaj8PK2l7WJ3RER9xtqwdhxkhw/edit?usp=sharing"",""นครปฐม!J235"")"),0)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IFERROR(__xludf.DUMMYFUNCTION("IMPORTRANGE(""https://docs.google.com/spreadsheets/d/1SX6NBoVAgQJ6U1MVXOaj8PK2l7WJ3RER9xtqwdhxkhw/edit?usp=sharing"",""นครปฐม!I236"")"),0)</f>
        <v>0</v>
      </c>
      <c r="J341" s="188">
        <f ca="1">IFERROR(__xludf.DUMMYFUNCTION("IMPORTRANGE(""https://docs.google.com/spreadsheets/d/1SX6NBoVAgQJ6U1MVXOaj8PK2l7WJ3RER9xtqwdhxkhw/edit?usp=sharing"",""นครปฐม!J236"")"),0)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8">
        <f ca="1">IFERROR(__xludf.DUMMYFUNCTION("IMPORTRANGE(""https://docs.google.com/spreadsheets/d/1SX6NBoVAgQJ6U1MVXOaj8PK2l7WJ3RER9xtqwdhxkhw/edit?usp=sharing"",""นครปฐม!J237"")"),0)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IFERROR(__xludf.DUMMYFUNCTION("IMPORTRANGE(""https://docs.google.com/spreadsheets/d/1SX6NBoVAgQJ6U1MVXOaj8PK2l7WJ3RER9xtqwdhxkhw/edit?usp=sharing"",""นครปฐม!I238"")"),0)</f>
        <v>0</v>
      </c>
      <c r="J343" s="188">
        <f ca="1">IFERROR(__xludf.DUMMYFUNCTION("IMPORTRANGE(""https://docs.google.com/spreadsheets/d/1SX6NBoVAgQJ6U1MVXOaj8PK2l7WJ3RER9xtqwdhxkhw/edit?usp=sharing"",""นครปฐม!J238"")"),0)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8">
        <f ca="1">IFERROR(__xludf.DUMMYFUNCTION("IMPORTRANGE(""https://docs.google.com/spreadsheets/d/1SX6NBoVAgQJ6U1MVXOaj8PK2l7WJ3RER9xtqwdhxkhw/edit?usp=sharing"",""นครปฐม!J239"")"),0)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IFERROR(__xludf.DUMMYFUNCTION("IMPORTRANGE(""https://docs.google.com/spreadsheets/d/1SX6NBoVAgQJ6U1MVXOaj8PK2l7WJ3RER9xtqwdhxkhw/edit?usp=sharing"",""นครปฐม!I240"")"),0)</f>
        <v>0</v>
      </c>
      <c r="J345" s="188">
        <f ca="1">IFERROR(__xludf.DUMMYFUNCTION("IMPORTRANGE(""https://docs.google.com/spreadsheets/d/1SX6NBoVAgQJ6U1MVXOaj8PK2l7WJ3RER9xtqwdhxkhw/edit?usp=sharing"",""นครปฐม!J240"")"),0)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8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IFERROR(__xludf.DUMMYFUNCTION("IMPORTRANGE(""https://docs.google.com/spreadsheets/d/1SX6NBoVAgQJ6U1MVXOaj8PK2l7WJ3RER9xtqwdhxkhw/edit?usp=sharing"",""นครปฐม!L242"")"),359600)</f>
        <v>359600</v>
      </c>
      <c r="M347" s="358"/>
      <c r="N347" s="358">
        <f ca="1">IFERROR(__xludf.DUMMYFUNCTION("IMPORTRANGE(""https://docs.google.com/spreadsheets/d/1SX6NBoVAgQJ6U1MVXOaj8PK2l7WJ3RER9xtqwdhxkhw/edit?usp=sharing"",""นครปฐม!M242"")"),307877.44)</f>
        <v>307877.44</v>
      </c>
      <c r="O347" s="358">
        <f ca="1">+IF(L347&gt;0,N347*100/L347,0)</f>
        <v>85.616640711902107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IFERROR(__xludf.DUMMYFUNCTION("IMPORTRANGE(""https://docs.google.com/spreadsheets/d/1SX6NBoVAgQJ6U1MVXOaj8PK2l7WJ3RER9xtqwdhxkhw/edit?usp=sharing"",""นครปฐม!L246"")"),0)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IFERROR(__xludf.DUMMYFUNCTION("IMPORTRANGE(""https://docs.google.com/spreadsheets/d/1SX6NBoVAgQJ6U1MVXOaj8PK2l7WJ3RER9xtqwdhxkhw/edit?usp=sharing"",""นครปฐม!M246"")"),0)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IFERROR(__xludf.DUMMYFUNCTION("IMPORTRANGE(""https://docs.google.com/spreadsheets/d/1SX6NBoVAgQJ6U1MVXOaj8PK2l7WJ3RER9xtqwdhxkhw/edit?usp=sharing"",""นครปฐม!L247"")"),0)</f>
        <v>0</v>
      </c>
      <c r="M352" s="165"/>
      <c r="N352" s="164">
        <f ca="1">IFERROR(__xludf.DUMMYFUNCTION("IMPORTRANGE(""https://docs.google.com/spreadsheets/d/1SX6NBoVAgQJ6U1MVXOaj8PK2l7WJ3RER9xtqwdhxkhw/edit?usp=sharing"",""นครปฐม!M247"")"),0)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IFERROR(__xludf.DUMMYFUNCTION("IMPORTRANGE(""https://docs.google.com/spreadsheets/d/1SX6NBoVAgQJ6U1MVXOaj8PK2l7WJ3RER9xtqwdhxkhw/edit?usp=sharing"",""นครปฐม!L248"")"),0)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IFERROR(__xludf.DUMMYFUNCTION("IMPORTRANGE(""https://docs.google.com/spreadsheets/d/1SX6NBoVAgQJ6U1MVXOaj8PK2l7WJ3RER9xtqwdhxkhw/edit?usp=sharing"",""นครปฐม!M248"")"),0)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IFERROR(__xludf.DUMMYFUNCTION("IMPORTRANGE(""https://docs.google.com/spreadsheets/d/1SX6NBoVAgQJ6U1MVXOaj8PK2l7WJ3RER9xtqwdhxkhw/edit?usp=sharing"",""นครปฐม!L249"")"),0)</f>
        <v>0</v>
      </c>
      <c r="M354" s="169"/>
      <c r="N354" s="168">
        <f ca="1">IFERROR(__xludf.DUMMYFUNCTION("IMPORTRANGE(""https://docs.google.com/spreadsheets/d/1SX6NBoVAgQJ6U1MVXOaj8PK2l7WJ3RER9xtqwdhxkhw/edit?usp=sharing"",""นครปฐม!M249"")"),0)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IFERROR(__xludf.DUMMYFUNCTION("IMPORTRANGE(""https://docs.google.com/spreadsheets/d/1SX6NBoVAgQJ6U1MVXOaj8PK2l7WJ3RER9xtqwdhxkhw/edit?usp=sharing"",""นครปฐม!J255"")"),0)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IFERROR(__xludf.DUMMYFUNCTION("IMPORTRANGE(""https://docs.google.com/spreadsheets/d/1SX6NBoVAgQJ6U1MVXOaj8PK2l7WJ3RER9xtqwdhxkhw/edit?usp=sharing"",""นครปฐม!J256"")"),0)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IFERROR(__xludf.DUMMYFUNCTION("IMPORTRANGE(""https://docs.google.com/spreadsheets/d/1SX6NBoVAgQJ6U1MVXOaj8PK2l7WJ3RER9xtqwdhxkhw/edit?usp=sharing"",""นครปฐม!J257"")"),0)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IFERROR(__xludf.DUMMYFUNCTION("IMPORTRANGE(""https://docs.google.com/spreadsheets/d/1SX6NBoVAgQJ6U1MVXOaj8PK2l7WJ3RER9xtqwdhxkhw/edit?usp=sharing"",""นครปฐม!J258"")"),0)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IFERROR(__xludf.DUMMYFUNCTION("IMPORTRANGE(""https://docs.google.com/spreadsheets/d/1SX6NBoVAgQJ6U1MVXOaj8PK2l7WJ3RER9xtqwdhxkhw/edit?usp=sharing"",""นครปฐม!J166"")"),0)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IFERROR(__xludf.DUMMYFUNCTION("IMPORTRANGE(""https://docs.google.com/spreadsheets/d/1SX6NBoVAgQJ6U1MVXOaj8PK2l7WJ3RER9xtqwdhxkhw/edit?usp=sharing"",""นครปฐม!J166"")"),0)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IFERROR(__xludf.DUMMYFUNCTION("IMPORTRANGE(""https://docs.google.com/spreadsheets/d/1SX6NBoVAgQJ6U1MVXOaj8PK2l7WJ3RER9xtqwdhxkhw/edit?usp=sharing"",""นครปฐม!J166"")"),0)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IFERROR(__xludf.DUMMYFUNCTION("IMPORTRANGE(""https://docs.google.com/spreadsheets/d/1SX6NBoVAgQJ6U1MVXOaj8PK2l7WJ3RER9xtqwdhxkhw/edit?usp=sharing"",""นครปฐม!J166"")"),0)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IFERROR(__xludf.DUMMYFUNCTION("IMPORTRANGE(""https://docs.google.com/spreadsheets/d/1SX6NBoVAgQJ6U1MVXOaj8PK2l7WJ3RER9xtqwdhxkhw/edit?usp=sharing"",""นครปฐม!I263"")"),0)</f>
        <v>0</v>
      </c>
      <c r="J368" s="188">
        <f ca="1">IFERROR(__xludf.DUMMYFUNCTION("IMPORTRANGE(""https://docs.google.com/spreadsheets/d/1SX6NBoVAgQJ6U1MVXOaj8PK2l7WJ3RER9xtqwdhxkhw/edit?usp=sharing"",""นครปฐม!J263"")"),0)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IFERROR(__xludf.DUMMYFUNCTION("IMPORTRANGE(""https://docs.google.com/spreadsheets/d/1SX6NBoVAgQJ6U1MVXOaj8PK2l7WJ3RER9xtqwdhxkhw/edit?usp=sharing"",""นครปฐม!I164"")"),0)</f>
        <v>0</v>
      </c>
      <c r="J369" s="204">
        <f ca="1">IFERROR(__xludf.DUMMYFUNCTION("IMPORTRANGE(""https://docs.google.com/spreadsheets/d/1SX6NBoVAgQJ6U1MVXOaj8PK2l7WJ3RER9xtqwdhxkhw/edit?usp=sharing"",""นครปฐม!J164"")"),0)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IFERROR(__xludf.DUMMYFUNCTION("IMPORTRANGE(""https://docs.google.com/spreadsheets/d/1SX6NBoVAgQJ6U1MVXOaj8PK2l7WJ3RER9xtqwdhxkhw/edit?usp=sharing"",""นครปฐม!I265"")"),0)</f>
        <v>0</v>
      </c>
      <c r="J370" s="204">
        <f ca="1">IFERROR(__xludf.DUMMYFUNCTION("IMPORTRANGE(""https://docs.google.com/spreadsheets/d/1SX6NBoVAgQJ6U1MVXOaj8PK2l7WJ3RER9xtqwdhxkhw/edit?usp=sharing"",""นครปฐม!J265"")"),0)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IFERROR(__xludf.DUMMYFUNCTION("IMPORTRANGE(""https://docs.google.com/spreadsheets/d/1SX6NBoVAgQJ6U1MVXOaj8PK2l7WJ3RER9xtqwdhxkhw/edit?usp=sharing"",""นครปฐม!I164"")"),0)</f>
        <v>0</v>
      </c>
      <c r="J371" s="189">
        <f ca="1">IFERROR(__xludf.DUMMYFUNCTION("IMPORTRANGE(""https://docs.google.com/spreadsheets/d/1SX6NBoVAgQJ6U1MVXOaj8PK2l7WJ3RER9xtqwdhxkhw/edit?usp=sharing"",""นครปฐม!J164"")"),0)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IFERROR(__xludf.DUMMYFUNCTION("IMPORTRANGE(""https://docs.google.com/spreadsheets/d/1SX6NBoVAgQJ6U1MVXOaj8PK2l7WJ3RER9xtqwdhxkhw/edit?usp=sharing"",""นครปฐม!I267"")"),0)</f>
        <v>0</v>
      </c>
      <c r="J372" s="189">
        <f ca="1">IFERROR(__xludf.DUMMYFUNCTION("IMPORTRANGE(""https://docs.google.com/spreadsheets/d/1SX6NBoVAgQJ6U1MVXOaj8PK2l7WJ3RER9xtqwdhxkhw/edit?usp=sharing"",""นครปฐม!J267"")"),0)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IFERROR(__xludf.DUMMYFUNCTION("IMPORTRANGE(""https://docs.google.com/spreadsheets/d/1SX6NBoVAgQJ6U1MVXOaj8PK2l7WJ3RER9xtqwdhxkhw/edit?usp=sharing"",""นครปฐม!I164"")"),0)</f>
        <v>0</v>
      </c>
      <c r="J373" s="204">
        <f ca="1">IFERROR(__xludf.DUMMYFUNCTION("IMPORTRANGE(""https://docs.google.com/spreadsheets/d/1SX6NBoVAgQJ6U1MVXOaj8PK2l7WJ3RER9xtqwdhxkhw/edit?usp=sharing"",""นครปฐม!J164"")"),0)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IFERROR(__xludf.DUMMYFUNCTION("IMPORTRANGE(""https://docs.google.com/spreadsheets/d/1SX6NBoVAgQJ6U1MVXOaj8PK2l7WJ3RER9xtqwdhxkhw/edit?usp=sharing"",""นครปฐม!I164"")"),0)</f>
        <v>0</v>
      </c>
      <c r="J374" s="188">
        <f ca="1">IFERROR(__xludf.DUMMYFUNCTION("IMPORTRANGE(""https://docs.google.com/spreadsheets/d/1SX6NBoVAgQJ6U1MVXOaj8PK2l7WJ3RER9xtqwdhxkhw/edit?usp=sharing"",""นครปฐม!J164"")"),0)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IFERROR(__xludf.DUMMYFUNCTION("IMPORTRANGE(""https://docs.google.com/spreadsheets/d/1SX6NBoVAgQJ6U1MVXOaj8PK2l7WJ3RER9xtqwdhxkhw/edit?usp=sharing"",""นครปฐม!I270"")"),0)</f>
        <v>0</v>
      </c>
      <c r="J375" s="188">
        <f ca="1">IFERROR(__xludf.DUMMYFUNCTION("IMPORTRANGE(""https://docs.google.com/spreadsheets/d/1SX6NBoVAgQJ6U1MVXOaj8PK2l7WJ3RER9xtqwdhxkhw/edit?usp=sharing"",""นครปฐม!J270"")"),0)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IFERROR(__xludf.DUMMYFUNCTION("IMPORTRANGE(""https://docs.google.com/spreadsheets/d/1SX6NBoVAgQJ6U1MVXOaj8PK2l7WJ3RER9xtqwdhxkhw/edit?usp=sharing"",""นครปฐม!I271"")"),0)</f>
        <v>0</v>
      </c>
      <c r="J376" s="189">
        <f ca="1">IFERROR(__xludf.DUMMYFUNCTION("IMPORTRANGE(""https://docs.google.com/spreadsheets/d/1SX6NBoVAgQJ6U1MVXOaj8PK2l7WJ3RER9xtqwdhxkhw/edit?usp=sharing"",""นครปฐม!J271"")"),0)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IFERROR(__xludf.DUMMYFUNCTION("IMPORTRANGE(""https://docs.google.com/spreadsheets/d/1SX6NBoVAgQJ6U1MVXOaj8PK2l7WJ3RER9xtqwdhxkhw/edit?usp=sharing"",""นครปฐม!I272"")"),0)</f>
        <v>0</v>
      </c>
      <c r="J377" s="204">
        <f ca="1">IFERROR(__xludf.DUMMYFUNCTION("IMPORTRANGE(""https://docs.google.com/spreadsheets/d/1SX6NBoVAgQJ6U1MVXOaj8PK2l7WJ3RER9xtqwdhxkhw/edit?usp=sharing"",""นครปฐม!J272"")"),0)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IFERROR(__xludf.DUMMYFUNCTION("IMPORTRANGE(""https://docs.google.com/spreadsheets/d/1SX6NBoVAgQJ6U1MVXOaj8PK2l7WJ3RER9xtqwdhxkhw/edit?usp=sharing"",""นครปฐม!J273"")"),0)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IFERROR(__xludf.DUMMYFUNCTION("IMPORTRANGE(""https://docs.google.com/spreadsheets/d/1SX6NBoVAgQJ6U1MVXOaj8PK2l7WJ3RER9xtqwdhxkhw/edit?usp=sharing"",""นครปฐม!J274"")"),0)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IFERROR(__xludf.DUMMYFUNCTION("IMPORTRANGE(""https://docs.google.com/spreadsheets/d/1SX6NBoVAgQJ6U1MVXOaj8PK2l7WJ3RER9xtqwdhxkhw/edit?usp=sharing"",""นครปฐม!L277"")"),0)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IFERROR(__xludf.DUMMYFUNCTION("IMPORTRANGE(""https://docs.google.com/spreadsheets/d/1SX6NBoVAgQJ6U1MVXOaj8PK2l7WJ3RER9xtqwdhxkhw/edit?usp=sharing"",""นครปฐม!M277"")"),0)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IFERROR(__xludf.DUMMYFUNCTION("IMPORTRANGE(""https://docs.google.com/spreadsheets/d/1SX6NBoVAgQJ6U1MVXOaj8PK2l7WJ3RER9xtqwdhxkhw/edit?usp=sharing"",""นครปฐม!L278"")"),0)</f>
        <v>0</v>
      </c>
      <c r="M383" s="165"/>
      <c r="N383" s="165">
        <f ca="1">IFERROR(__xludf.DUMMYFUNCTION("IMPORTRANGE(""https://docs.google.com/spreadsheets/d/1SX6NBoVAgQJ6U1MVXOaj8PK2l7WJ3RER9xtqwdhxkhw/edit?usp=sharing"",""นครปฐม!M278"")"),0)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IFERROR(__xludf.DUMMYFUNCTION("IMPORTRANGE(""https://docs.google.com/spreadsheets/d/1SX6NBoVAgQJ6U1MVXOaj8PK2l7WJ3RER9xtqwdhxkhw/edit?usp=sharing"",""นครปฐม!L279"")"),0)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IFERROR(__xludf.DUMMYFUNCTION("IMPORTRANGE(""https://docs.google.com/spreadsheets/d/1SX6NBoVAgQJ6U1MVXOaj8PK2l7WJ3RER9xtqwdhxkhw/edit?usp=sharing"",""นครปฐม!M279"")"),0)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IFERROR(__xludf.DUMMYFUNCTION("IMPORTRANGE(""https://docs.google.com/spreadsheets/d/1SX6NBoVAgQJ6U1MVXOaj8PK2l7WJ3RER9xtqwdhxkhw/edit?usp=sharing"",""นครปฐม!L280"")"),0)</f>
        <v>0</v>
      </c>
      <c r="M385" s="169"/>
      <c r="N385" s="168">
        <f ca="1">IFERROR(__xludf.DUMMYFUNCTION("IMPORTRANGE(""https://docs.google.com/spreadsheets/d/1SX6NBoVAgQJ6U1MVXOaj8PK2l7WJ3RER9xtqwdhxkhw/edit?usp=sharing"",""นครปฐม!M280"")"),0)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IFERROR(__xludf.DUMMYFUNCTION("IMPORTRANGE(""https://docs.google.com/spreadsheets/d/1SX6NBoVAgQJ6U1MVXOaj8PK2l7WJ3RER9xtqwdhxkhw/edit?usp=sharing"",""นครปฐม!J286"")"),0)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IFERROR(__xludf.DUMMYFUNCTION("IMPORTRANGE(""https://docs.google.com/spreadsheets/d/1SX6NBoVAgQJ6U1MVXOaj8PK2l7WJ3RER9xtqwdhxkhw/edit?usp=sharing"",""นครปฐม!J287"")"),0)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IFERROR(__xludf.DUMMYFUNCTION("IMPORTRANGE(""https://docs.google.com/spreadsheets/d/1SX6NBoVAgQJ6U1MVXOaj8PK2l7WJ3RER9xtqwdhxkhw/edit?usp=sharing"",""นครปฐม!J288"")"),0)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IFERROR(__xludf.DUMMYFUNCTION("IMPORTRANGE(""https://docs.google.com/spreadsheets/d/1SX6NBoVAgQJ6U1MVXOaj8PK2l7WJ3RER9xtqwdhxkhw/edit?usp=sharing"",""นครปฐม!J289"")"),0)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IFERROR(__xludf.DUMMYFUNCTION("IMPORTRANGE(""https://docs.google.com/spreadsheets/d/1SX6NBoVAgQJ6U1MVXOaj8PK2l7WJ3RER9xtqwdhxkhw/edit?usp=sharing"",""นครปฐม!I291"")"),0)</f>
        <v>0</v>
      </c>
      <c r="J396" s="198">
        <f ca="1">IFERROR(__xludf.DUMMYFUNCTION("IMPORTRANGE(""https://docs.google.com/spreadsheets/d/1SX6NBoVAgQJ6U1MVXOaj8PK2l7WJ3RER9xtqwdhxkhw/edit?usp=sharing"",""นครปฐม!J291"")"),0)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IFERROR(__xludf.DUMMYFUNCTION("IMPORTRANGE(""https://docs.google.com/spreadsheets/d/1SX6NBoVAgQJ6U1MVXOaj8PK2l7WJ3RER9xtqwdhxkhw/edit?usp=sharing"",""นครปฐม!I292"")"),0)</f>
        <v>0</v>
      </c>
      <c r="J397" s="198">
        <f ca="1">IFERROR(__xludf.DUMMYFUNCTION("IMPORTRANGE(""https://docs.google.com/spreadsheets/d/1SX6NBoVAgQJ6U1MVXOaj8PK2l7WJ3RER9xtqwdhxkhw/edit?usp=sharing"",""นครปฐม!J292"")"),0)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IFERROR(__xludf.DUMMYFUNCTION("IMPORTRANGE(""https://docs.google.com/spreadsheets/d/1SX6NBoVAgQJ6U1MVXOaj8PK2l7WJ3RER9xtqwdhxkhw/edit?usp=sharing"",""นครปฐม!I293"")"),0)</f>
        <v>0</v>
      </c>
      <c r="J398" s="198">
        <f ca="1">IFERROR(__xludf.DUMMYFUNCTION("IMPORTRANGE(""https://docs.google.com/spreadsheets/d/1SX6NBoVAgQJ6U1MVXOaj8PK2l7WJ3RER9xtqwdhxkhw/edit?usp=sharing"",""นครปฐม!J293"")"),0)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IFERROR(__xludf.DUMMYFUNCTION("IMPORTRANGE(""https://docs.google.com/spreadsheets/d/1SX6NBoVAgQJ6U1MVXOaj8PK2l7WJ3RER9xtqwdhxkhw/edit?usp=sharing"",""นครปฐม!J294"")"),0)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IFERROR(__xludf.DUMMYFUNCTION("IMPORTRANGE(""https://docs.google.com/spreadsheets/d/1SX6NBoVAgQJ6U1MVXOaj8PK2l7WJ3RER9xtqwdhxkhw/edit?usp=sharing"",""นครปฐม!J295"")"),0)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IFERROR(__xludf.DUMMYFUNCTION("IMPORTRANGE(""https://docs.google.com/spreadsheets/d/1SX6NBoVAgQJ6U1MVXOaj8PK2l7WJ3RER9xtqwdhxkhw/edit?usp=sharing"",""นครปฐม!M296"")"),127673)</f>
        <v>127673</v>
      </c>
      <c r="O401" s="373">
        <f ca="1">+IF(L401&gt;0,N401*100/L401,0)</f>
        <v>98.02149712092131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IFERROR(__xludf.DUMMYFUNCTION("IMPORTRANGE(""https://docs.google.com/spreadsheets/d/1SX6NBoVAgQJ6U1MVXOaj8PK2l7WJ3RER9xtqwdhxkhw/edit?usp=sharing"",""นครปฐม!L298"")"),0)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IFERROR(__xludf.DUMMYFUNCTION("IMPORTRANGE(""https://docs.google.com/spreadsheets/d/1SX6NBoVAgQJ6U1MVXOaj8PK2l7WJ3RER9xtqwdhxkhw/edit?usp=sharing"",""นครปฐม!M298"")"),0)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IFERROR(__xludf.DUMMYFUNCTION("IMPORTRANGE(""https://docs.google.com/spreadsheets/d/1SX6NBoVAgQJ6U1MVXOaj8PK2l7WJ3RER9xtqwdhxkhw/edit?usp=sharing"",""นครปฐม!L299"")"),130250)</f>
        <v>130250</v>
      </c>
      <c r="M404" s="165"/>
      <c r="N404" s="169">
        <f ca="1">IFERROR(__xludf.DUMMYFUNCTION("IMPORTRANGE(""https://docs.google.com/spreadsheets/d/1SX6NBoVAgQJ6U1MVXOaj8PK2l7WJ3RER9xtqwdhxkhw/edit?usp=sharing"",""นครปฐม!M299"")"),127673)</f>
        <v>127673</v>
      </c>
      <c r="O404" s="169">
        <f t="shared" ca="1" si="112"/>
        <v>98.02149712092131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IFERROR(__xludf.DUMMYFUNCTION("IMPORTRANGE(""https://docs.google.com/spreadsheets/d/1SX6NBoVAgQJ6U1MVXOaj8PK2l7WJ3RER9xtqwdhxkhw/edit?usp=sharing"",""นครปฐม!L300"")"),0)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IFERROR(__xludf.DUMMYFUNCTION("IMPORTRANGE(""https://docs.google.com/spreadsheets/d/1SX6NBoVAgQJ6U1MVXOaj8PK2l7WJ3RER9xtqwdhxkhw/edit?usp=sharing"",""นครปฐม!M300"")"),0)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IFERROR(__xludf.DUMMYFUNCTION("IMPORTRANGE(""https://docs.google.com/spreadsheets/d/1SX6NBoVAgQJ6U1MVXOaj8PK2l7WJ3RER9xtqwdhxkhw/edit?usp=sharing"",""นครปฐม!L301"")"),130250)</f>
        <v>130250</v>
      </c>
      <c r="M406" s="169"/>
      <c r="N406" s="169">
        <f ca="1">IFERROR(__xludf.DUMMYFUNCTION("IMPORTRANGE(""https://docs.google.com/spreadsheets/d/1SX6NBoVAgQJ6U1MVXOaj8PK2l7WJ3RER9xtqwdhxkhw/edit?usp=sharing"",""นครปฐม!M301"")"),127673)</f>
        <v>127673</v>
      </c>
      <c r="O406" s="169">
        <f t="shared" ca="1" si="112"/>
        <v>98.02149712092131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IFERROR(__xludf.DUMMYFUNCTION("IMPORTRANGE(""https://docs.google.com/spreadsheets/d/1SX6NBoVAgQJ6U1MVXOaj8PK2l7WJ3RER9xtqwdhxkhw/edit?usp=sharing"",""นครปฐม!M302"")"),74550)</f>
        <v>74550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IFERROR(__xludf.DUMMYFUNCTION("IMPORTRANGE(""https://docs.google.com/spreadsheets/d/1SX6NBoVAgQJ6U1MVXOaj8PK2l7WJ3RER9xtqwdhxkhw/edit?usp=sharing"",""นครปฐม!M303"")"),28000)</f>
        <v>28000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IFERROR(__xludf.DUMMYFUNCTION("IMPORTRANGE(""https://docs.google.com/spreadsheets/d/1SX6NBoVAgQJ6U1MVXOaj8PK2l7WJ3RER9xtqwdhxkhw/edit?usp=sharing"",""นครปฐม!M305"")"),25123)</f>
        <v>25123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IFERROR(__xludf.DUMMYFUNCTION("IMPORTRANGE(""https://docs.google.com/spreadsheets/d/1SX6NBoVAgQJ6U1MVXOaj8PK2l7WJ3RER9xtqwdhxkhw/edit?usp=sharing"",""นครปฐม!J307"")"),0)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IFERROR(__xludf.DUMMYFUNCTION("IMPORTRANGE(""https://docs.google.com/spreadsheets/d/1SX6NBoVAgQJ6U1MVXOaj8PK2l7WJ3RER9xtqwdhxkhw/edit?usp=sharing"",""นครปฐม!J308"")"),1)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IFERROR(__xludf.DUMMYFUNCTION("IMPORTRANGE(""https://docs.google.com/spreadsheets/d/1SX6NBoVAgQJ6U1MVXOaj8PK2l7WJ3RER9xtqwdhxkhw/edit?usp=sharing"",""นครปฐม!J309"")"),1)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IFERROR(__xludf.DUMMYFUNCTION("IMPORTRANGE(""https://docs.google.com/spreadsheets/d/1SX6NBoVAgQJ6U1MVXOaj8PK2l7WJ3RER9xtqwdhxkhw/edit?usp=sharing"",""นครปฐม!J310"")"),1)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IFERROR(__xludf.DUMMYFUNCTION("IMPORTRANGE(""https://docs.google.com/spreadsheets/d/1SX6NBoVAgQJ6U1MVXOaj8PK2l7WJ3RER9xtqwdhxkhw/edit?usp=sharing"",""นครปฐม!I311"")"),50)</f>
        <v>50</v>
      </c>
      <c r="J416" s="201">
        <f ca="1">IFERROR(__xludf.DUMMYFUNCTION("IMPORTRANGE(""https://docs.google.com/spreadsheets/d/1SX6NBoVAgQJ6U1MVXOaj8PK2l7WJ3RER9xtqwdhxkhw/edit?usp=sharing"",""นครปฐม!J311"")"),50)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IFERROR(__xludf.DUMMYFUNCTION("IMPORTRANGE(""https://docs.google.com/spreadsheets/d/1SX6NBoVAgQJ6U1MVXOaj8PK2l7WJ3RER9xtqwdhxkhw/edit?usp=sharing"",""นครปฐม!J328"")"),0)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IFERROR(__xludf.DUMMYFUNCTION("IMPORTRANGE(""https://docs.google.com/spreadsheets/d/1SX6NBoVAgQJ6U1MVXOaj8PK2l7WJ3RER9xtqwdhxkhw/edit?usp=sharing"",""นครปฐม!J329"")"),0)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IFERROR(__xludf.DUMMYFUNCTION("IMPORTRANGE(""https://docs.google.com/spreadsheets/d/1SX6NBoVAgQJ6U1MVXOaj8PK2l7WJ3RER9xtqwdhxkhw/edit?usp=sharing"",""นครปฐม!L330"")"),76000)</f>
        <v>76000</v>
      </c>
      <c r="M435" s="412"/>
      <c r="N435" s="412">
        <f ca="1">IFERROR(__xludf.DUMMYFUNCTION("IMPORTRANGE(""https://docs.google.com/spreadsheets/d/1SX6NBoVAgQJ6U1MVXOaj8PK2l7WJ3RER9xtqwdhxkhw/edit?usp=sharing"",""นครปฐม!M330"")"),71021)</f>
        <v>71021</v>
      </c>
      <c r="O435" s="412">
        <f t="shared" ref="O435:O439" ca="1" si="114">+IF(L435&gt;0,N435*100/L435,0)</f>
        <v>93.448684210526309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IFERROR(__xludf.DUMMYFUNCTION("IMPORTRANGE(""https://docs.google.com/spreadsheets/d/1SX6NBoVAgQJ6U1MVXOaj8PK2l7WJ3RER9xtqwdhxkhw/edit?usp=sharing"",""นครปฐม!L331"")"),0)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IFERROR(__xludf.DUMMYFUNCTION("IMPORTRANGE(""https://docs.google.com/spreadsheets/d/1SX6NBoVAgQJ6U1MVXOaj8PK2l7WJ3RER9xtqwdhxkhw/edit?usp=sharing"",""นครปฐม!M331"")"),0)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IFERROR(__xludf.DUMMYFUNCTION("IMPORTRANGE(""https://docs.google.com/spreadsheets/d/1SX6NBoVAgQJ6U1MVXOaj8PK2l7WJ3RER9xtqwdhxkhw/edit?usp=sharing"",""นครปฐม!L332"")"),76000)</f>
        <v>76000</v>
      </c>
      <c r="M437" s="165"/>
      <c r="N437" s="169">
        <f ca="1">IFERROR(__xludf.DUMMYFUNCTION("IMPORTRANGE(""https://docs.google.com/spreadsheets/d/1SX6NBoVAgQJ6U1MVXOaj8PK2l7WJ3RER9xtqwdhxkhw/edit?usp=sharing"",""นครปฐม!M332"")"),71021)</f>
        <v>71021</v>
      </c>
      <c r="O437" s="169">
        <f t="shared" ca="1" si="114"/>
        <v>93.448684210526309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IFERROR(__xludf.DUMMYFUNCTION("IMPORTRANGE(""https://docs.google.com/spreadsheets/d/1SX6NBoVAgQJ6U1MVXOaj8PK2l7WJ3RER9xtqwdhxkhw/edit?usp=sharing"",""นครปฐม!L333"")"),0)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IFERROR(__xludf.DUMMYFUNCTION("IMPORTRANGE(""https://docs.google.com/spreadsheets/d/1SX6NBoVAgQJ6U1MVXOaj8PK2l7WJ3RER9xtqwdhxkhw/edit?usp=sharing"",""นครปฐม!M333"")"),0)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IFERROR(__xludf.DUMMYFUNCTION("IMPORTRANGE(""https://docs.google.com/spreadsheets/d/1SX6NBoVAgQJ6U1MVXOaj8PK2l7WJ3RER9xtqwdhxkhw/edit?usp=sharing"",""นครปฐม!L334"")"),76000)</f>
        <v>76000</v>
      </c>
      <c r="M439" s="169"/>
      <c r="N439" s="169">
        <f ca="1">IFERROR(__xludf.DUMMYFUNCTION("IMPORTRANGE(""https://docs.google.com/spreadsheets/d/1SX6NBoVAgQJ6U1MVXOaj8PK2l7WJ3RER9xtqwdhxkhw/edit?usp=sharing"",""นครปฐม!M334"")"),71021)</f>
        <v>71021</v>
      </c>
      <c r="O439" s="169">
        <f t="shared" ca="1" si="114"/>
        <v>93.448684210526309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IFERROR(__xludf.DUMMYFUNCTION("IMPORTRANGE(""https://docs.google.com/spreadsheets/d/1SX6NBoVAgQJ6U1MVXOaj8PK2l7WJ3RER9xtqwdhxkhw/edit?usp=sharing"",""นครปฐม!M335"")"),20200)</f>
        <v>20200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IFERROR(__xludf.DUMMYFUNCTION("IMPORTRANGE(""https://docs.google.com/spreadsheets/d/1SX6NBoVAgQJ6U1MVXOaj8PK2l7WJ3RER9xtqwdhxkhw/edit?usp=sharing"",""นครปฐม!M338"")"),50821)</f>
        <v>50821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IFERROR(__xludf.DUMMYFUNCTION("IMPORTRANGE(""https://docs.google.com/spreadsheets/d/1SX6NBoVAgQJ6U1MVXOaj8PK2l7WJ3RER9xtqwdhxkhw/edit?usp=sharing"",""นครปฐม!J340"")"),0)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IFERROR(__xludf.DUMMYFUNCTION("IMPORTRANGE(""https://docs.google.com/spreadsheets/d/1SX6NBoVAgQJ6U1MVXOaj8PK2l7WJ3RER9xtqwdhxkhw/edit?usp=sharing"",""นครปฐม!J342"")"),1)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IFERROR(__xludf.DUMMYFUNCTION("IMPORTRANGE(""https://docs.google.com/spreadsheets/d/1SX6NBoVAgQJ6U1MVXOaj8PK2l7WJ3RER9xtqwdhxkhw/edit?usp=sharing"",""นครปฐม!J343"")"),1)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1">
        <f ca="1">IFERROR(__xludf.DUMMYFUNCTION("IMPORTRANGE(""https://docs.google.com/spreadsheets/d/1SX6NBoVAgQJ6U1MVXOaj8PK2l7WJ3RER9xtqwdhxkhw/edit?usp=sharing"",""นครปฐม!J344"")"),10)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IFERROR(__xludf.DUMMYFUNCTION("IMPORTRANGE(""https://docs.google.com/spreadsheets/d/1SX6NBoVAgQJ6U1MVXOaj8PK2l7WJ3RER9xtqwdhxkhw/edit?usp=sharing"",""นครปฐม!I345"")"),10)</f>
        <v>10</v>
      </c>
      <c r="J450" s="189">
        <f ca="1">IFERROR(__xludf.DUMMYFUNCTION("IMPORTRANGE(""https://docs.google.com/spreadsheets/d/1SX6NBoVAgQJ6U1MVXOaj8PK2l7WJ3RER9xtqwdhxkhw/edit?usp=sharing"",""นครปฐม!J345"")"),10)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IFERROR(__xludf.DUMMYFUNCTION("IMPORTRANGE(""https://docs.google.com/spreadsheets/d/1SX6NBoVAgQJ6U1MVXOaj8PK2l7WJ3RER9xtqwdhxkhw/edit?usp=sharing"",""นครปฐม!I346"")"),0)</f>
        <v>0</v>
      </c>
      <c r="J451" s="188">
        <f ca="1">IFERROR(__xludf.DUMMYFUNCTION("IMPORTRANGE(""https://docs.google.com/spreadsheets/d/1SX6NBoVAgQJ6U1MVXOaj8PK2l7WJ3RER9xtqwdhxkhw/edit?usp=sharing"",""นครปฐม!J346"")"),0)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IFERROR(__xludf.DUMMYFUNCTION("IMPORTRANGE(""https://docs.google.com/spreadsheets/d/1SX6NBoVAgQJ6U1MVXOaj8PK2l7WJ3RER9xtqwdhxkhw/edit?usp=sharing"",""นครปฐม!I347"")"),0)</f>
        <v>0</v>
      </c>
      <c r="J452" s="188">
        <f ca="1">IFERROR(__xludf.DUMMYFUNCTION("IMPORTRANGE(""https://docs.google.com/spreadsheets/d/1SX6NBoVAgQJ6U1MVXOaj8PK2l7WJ3RER9xtqwdhxkhw/edit?usp=sharing"",""นครปฐม!J347"")"),0)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IFERROR(__xludf.DUMMYFUNCTION("IMPORTRANGE(""https://docs.google.com/spreadsheets/d/1SX6NBoVAgQJ6U1MVXOaj8PK2l7WJ3RER9xtqwdhxkhw/edit?usp=sharing"",""นครปฐม!J348"")"),0)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IFERROR(__xludf.DUMMYFUNCTION("IMPORTRANGE(""https://docs.google.com/spreadsheets/d/1SX6NBoVAgQJ6U1MVXOaj8PK2l7WJ3RER9xtqwdhxkhw/edit?usp=sharing"",""นครปฐม!J349"")"),0)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IFERROR(__xludf.DUMMYFUNCTION("IMPORTRANGE(""https://docs.google.com/spreadsheets/d/1SX6NBoVAgQJ6U1MVXOaj8PK2l7WJ3RER9xtqwdhxkhw/edit?usp=sharing"",""นครปฐม!L351"")"),0)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IFERROR(__xludf.DUMMYFUNCTION("IMPORTRANGE(""https://docs.google.com/spreadsheets/d/1SX6NBoVAgQJ6U1MVXOaj8PK2l7WJ3RER9xtqwdhxkhw/edit?usp=sharing"",""นครปฐม!M351"")"),0)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IFERROR(__xludf.DUMMYFUNCTION("IMPORTRANGE(""https://docs.google.com/spreadsheets/d/1SX6NBoVAgQJ6U1MVXOaj8PK2l7WJ3RER9xtqwdhxkhw/edit?usp=sharing"",""นครปฐม!L352"")"),0)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IFERROR(__xludf.DUMMYFUNCTION("IMPORTRANGE(""https://docs.google.com/spreadsheets/d/1SX6NBoVAgQJ6U1MVXOaj8PK2l7WJ3RER9xtqwdhxkhw/edit?usp=sharing"",""นครปฐม!M352"")"),0)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IFERROR(__xludf.DUMMYFUNCTION("IMPORTRANGE(""https://docs.google.com/spreadsheets/d/1SX6NBoVAgQJ6U1MVXOaj8PK2l7WJ3RER9xtqwdhxkhw/edit?usp=sharing"",""นครปฐม!L353"")"),0)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IFERROR(__xludf.DUMMYFUNCTION("IMPORTRANGE(""https://docs.google.com/spreadsheets/d/1SX6NBoVAgQJ6U1MVXOaj8PK2l7WJ3RER9xtqwdhxkhw/edit?usp=sharing"",""นครปฐม!M353"")"),0)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IFERROR(__xludf.DUMMYFUNCTION("IMPORTRANGE(""https://docs.google.com/spreadsheets/d/1SX6NBoVAgQJ6U1MVXOaj8PK2l7WJ3RER9xtqwdhxkhw/edit?usp=sharing"",""นครปฐม!L354"")"),0)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IFERROR(__xludf.DUMMYFUNCTION("IMPORTRANGE(""https://docs.google.com/spreadsheets/d/1SX6NBoVAgQJ6U1MVXOaj8PK2l7WJ3RER9xtqwdhxkhw/edit?usp=sharing"",""นครปฐม!M354"")"),0)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IFERROR(__xludf.DUMMYFUNCTION("IMPORTRANGE(""https://docs.google.com/spreadsheets/d/1SX6NBoVAgQJ6U1MVXOaj8PK2l7WJ3RER9xtqwdhxkhw/edit?usp=sharing"",""นครปฐม!M355"")"),0)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IFERROR(__xludf.DUMMYFUNCTION("IMPORTRANGE(""https://docs.google.com/spreadsheets/d/1SX6NBoVAgQJ6U1MVXOaj8PK2l7WJ3RER9xtqwdhxkhw/edit?usp=sharing"",""นครปฐม!M356"")"),0)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IFERROR(__xludf.DUMMYFUNCTION("IMPORTRANGE(""https://docs.google.com/spreadsheets/d/1SX6NBoVAgQJ6U1MVXOaj8PK2l7WJ3RER9xtqwdhxkhw/edit?usp=sharing"",""นครปฐม!I359"")"),0)</f>
        <v>0</v>
      </c>
      <c r="J464" s="268">
        <f ca="1">IFERROR(__xludf.DUMMYFUNCTION("IMPORTRANGE(""https://docs.google.com/spreadsheets/d/1SX6NBoVAgQJ6U1MVXOaj8PK2l7WJ3RER9xtqwdhxkhw/edit?usp=sharing"",""นครปฐม!J359"")"),0)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IFERROR(__xludf.DUMMYFUNCTION("IMPORTRANGE(""https://docs.google.com/spreadsheets/d/1SX6NBoVAgQJ6U1MVXOaj8PK2l7WJ3RER9xtqwdhxkhw/edit?usp=sharing"",""นครปฐม!I362"")"),0)</f>
        <v>0</v>
      </c>
      <c r="J467" s="189">
        <f ca="1">IFERROR(__xludf.DUMMYFUNCTION("IMPORTRANGE(""https://docs.google.com/spreadsheets/d/1SX6NBoVAgQJ6U1MVXOaj8PK2l7WJ3RER9xtqwdhxkhw/edit?usp=sharing"",""นครปฐม!J362"")"),0)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IFERROR(__xludf.DUMMYFUNCTION("IMPORTRANGE(""https://docs.google.com/spreadsheets/d/1SX6NBoVAgQJ6U1MVXOaj8PK2l7WJ3RER9xtqwdhxkhw/edit?usp=sharing"",""นครปฐม!I363"")"),0)</f>
        <v>0</v>
      </c>
      <c r="J468" s="189">
        <f ca="1">IFERROR(__xludf.DUMMYFUNCTION("IMPORTRANGE(""https://docs.google.com/spreadsheets/d/1SX6NBoVAgQJ6U1MVXOaj8PK2l7WJ3RER9xtqwdhxkhw/edit?usp=sharing"",""นครปฐม!J363"")"),0)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IFERROR(__xludf.DUMMYFUNCTION("IMPORTRANGE(""https://docs.google.com/spreadsheets/d/1SX6NBoVAgQJ6U1MVXOaj8PK2l7WJ3RER9xtqwdhxkhw/edit?usp=sharing"",""นครปฐม!I364"")"),0)</f>
        <v>0</v>
      </c>
      <c r="J469" s="189">
        <f ca="1">IFERROR(__xludf.DUMMYFUNCTION("IMPORTRANGE(""https://docs.google.com/spreadsheets/d/1SX6NBoVAgQJ6U1MVXOaj8PK2l7WJ3RER9xtqwdhxkhw/edit?usp=sharing"",""นครปฐม!J364"")"),0)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IFERROR(__xludf.DUMMYFUNCTION("IMPORTRANGE(""https://docs.google.com/spreadsheets/d/1SX6NBoVAgQJ6U1MVXOaj8PK2l7WJ3RER9xtqwdhxkhw/edit?usp=sharing"",""นครปฐม!I365"")"),0)</f>
        <v>0</v>
      </c>
      <c r="J470" s="189">
        <f ca="1">IFERROR(__xludf.DUMMYFUNCTION("IMPORTRANGE(""https://docs.google.com/spreadsheets/d/1SX6NBoVAgQJ6U1MVXOaj8PK2l7WJ3RER9xtqwdhxkhw/edit?usp=sharing"",""นครปฐม!J365"")"),0)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IFERROR(__xludf.DUMMYFUNCTION("IMPORTRANGE(""https://docs.google.com/spreadsheets/d/1SX6NBoVAgQJ6U1MVXOaj8PK2l7WJ3RER9xtqwdhxkhw/edit?usp=sharing"",""นครปฐม!I366"")"),0)</f>
        <v>0</v>
      </c>
      <c r="J471" s="189">
        <f ca="1">IFERROR(__xludf.DUMMYFUNCTION("IMPORTRANGE(""https://docs.google.com/spreadsheets/d/1SX6NBoVAgQJ6U1MVXOaj8PK2l7WJ3RER9xtqwdhxkhw/edit?usp=sharing"",""นครปฐม!J366"")"),0)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IFERROR(__xludf.DUMMYFUNCTION("IMPORTRANGE(""https://docs.google.com/spreadsheets/d/1SX6NBoVAgQJ6U1MVXOaj8PK2l7WJ3RER9xtqwdhxkhw/edit?usp=sharing"",""นครปฐม!I367"")"),0)</f>
        <v>0</v>
      </c>
      <c r="J472" s="189">
        <f ca="1">IFERROR(__xludf.DUMMYFUNCTION("IMPORTRANGE(""https://docs.google.com/spreadsheets/d/1SX6NBoVAgQJ6U1MVXOaj8PK2l7WJ3RER9xtqwdhxkhw/edit?usp=sharing"",""นครปฐม!J367"")"),0)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IFERROR(__xludf.DUMMYFUNCTION("IMPORTRANGE(""https://docs.google.com/spreadsheets/d/1SX6NBoVAgQJ6U1MVXOaj8PK2l7WJ3RER9xtqwdhxkhw/edit?usp=sharing"",""นครปฐม!I370"")"),0)</f>
        <v>0</v>
      </c>
      <c r="J475" s="189">
        <f ca="1">IFERROR(__xludf.DUMMYFUNCTION("IMPORTRANGE(""https://docs.google.com/spreadsheets/d/1SX6NBoVAgQJ6U1MVXOaj8PK2l7WJ3RER9xtqwdhxkhw/edit?usp=sharing"",""นครปฐม!J370"")"),0)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IFERROR(__xludf.DUMMYFUNCTION("IMPORTRANGE(""https://docs.google.com/spreadsheets/d/1SX6NBoVAgQJ6U1MVXOaj8PK2l7WJ3RER9xtqwdhxkhw/edit?usp=sharing"",""นครปฐม!I371"")"),0)</f>
        <v>0</v>
      </c>
      <c r="J476" s="189">
        <f ca="1">IFERROR(__xludf.DUMMYFUNCTION("IMPORTRANGE(""https://docs.google.com/spreadsheets/d/1SX6NBoVAgQJ6U1MVXOaj8PK2l7WJ3RER9xtqwdhxkhw/edit?usp=sharing"",""นครปฐม!J371"")"),0)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IFERROR(__xludf.DUMMYFUNCTION("IMPORTRANGE(""https://docs.google.com/spreadsheets/d/1SX6NBoVAgQJ6U1MVXOaj8PK2l7WJ3RER9xtqwdhxkhw/edit?usp=sharing"",""นครปฐม!I372"")"),0)</f>
        <v>0</v>
      </c>
      <c r="J477" s="189">
        <f ca="1">IFERROR(__xludf.DUMMYFUNCTION("IMPORTRANGE(""https://docs.google.com/spreadsheets/d/1SX6NBoVAgQJ6U1MVXOaj8PK2l7WJ3RER9xtqwdhxkhw/edit?usp=sharing"",""นครปฐม!J372"")"),0)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IFERROR(__xludf.DUMMYFUNCTION("IMPORTRANGE(""https://docs.google.com/spreadsheets/d/1SX6NBoVAgQJ6U1MVXOaj8PK2l7WJ3RER9xtqwdhxkhw/edit?usp=sharing"",""นครปฐม!I373"")"),0)</f>
        <v>0</v>
      </c>
      <c r="J478" s="189">
        <f ca="1">IFERROR(__xludf.DUMMYFUNCTION("IMPORTRANGE(""https://docs.google.com/spreadsheets/d/1SX6NBoVAgQJ6U1MVXOaj8PK2l7WJ3RER9xtqwdhxkhw/edit?usp=sharing"",""นครปฐม!J373"")"),0)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IFERROR(__xludf.DUMMYFUNCTION("IMPORTRANGE(""https://docs.google.com/spreadsheets/d/1SX6NBoVAgQJ6U1MVXOaj8PK2l7WJ3RER9xtqwdhxkhw/edit?usp=sharing"",""นครปฐม!I374"")"),0)</f>
        <v>0</v>
      </c>
      <c r="J479" s="189">
        <f ca="1">IFERROR(__xludf.DUMMYFUNCTION("IMPORTRANGE(""https://docs.google.com/spreadsheets/d/1SX6NBoVAgQJ6U1MVXOaj8PK2l7WJ3RER9xtqwdhxkhw/edit?usp=sharing"",""นครปฐม!J374"")"),0)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IFERROR(__xludf.DUMMYFUNCTION("IMPORTRANGE(""https://docs.google.com/spreadsheets/d/1SX6NBoVAgQJ6U1MVXOaj8PK2l7WJ3RER9xtqwdhxkhw/edit?usp=sharing"",""นครปฐม!I375"")"),0)</f>
        <v>0</v>
      </c>
      <c r="J480" s="189">
        <f ca="1">IFERROR(__xludf.DUMMYFUNCTION("IMPORTRANGE(""https://docs.google.com/spreadsheets/d/1SX6NBoVAgQJ6U1MVXOaj8PK2l7WJ3RER9xtqwdhxkhw/edit?usp=sharing"",""นครปฐม!J375"")"),0)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IFERROR(__xludf.DUMMYFUNCTION("IMPORTRANGE(""https://docs.google.com/spreadsheets/d/1SX6NBoVAgQJ6U1MVXOaj8PK2l7WJ3RER9xtqwdhxkhw/edit?usp=sharing"",""นครปฐม!I378"")"),0)</f>
        <v>0</v>
      </c>
      <c r="J483" s="189">
        <f ca="1">IFERROR(__xludf.DUMMYFUNCTION("IMPORTRANGE(""https://docs.google.com/spreadsheets/d/1SX6NBoVAgQJ6U1MVXOaj8PK2l7WJ3RER9xtqwdhxkhw/edit?usp=sharing"",""นครปฐม!J378"")"),0)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IFERROR(__xludf.DUMMYFUNCTION("IMPORTRANGE(""https://docs.google.com/spreadsheets/d/1SX6NBoVAgQJ6U1MVXOaj8PK2l7WJ3RER9xtqwdhxkhw/edit?usp=sharing"",""นครปฐม!I379"")"),0)</f>
        <v>0</v>
      </c>
      <c r="J484" s="189">
        <f ca="1">IFERROR(__xludf.DUMMYFUNCTION("IMPORTRANGE(""https://docs.google.com/spreadsheets/d/1SX6NBoVAgQJ6U1MVXOaj8PK2l7WJ3RER9xtqwdhxkhw/edit?usp=sharing"",""นครปฐม!J379"")"),0)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IFERROR(__xludf.DUMMYFUNCTION("IMPORTRANGE(""https://docs.google.com/spreadsheets/d/1SX6NBoVAgQJ6U1MVXOaj8PK2l7WJ3RER9xtqwdhxkhw/edit?usp=sharing"",""นครปฐม!I380"")"),0)</f>
        <v>0</v>
      </c>
      <c r="J485" s="189">
        <f ca="1">IFERROR(__xludf.DUMMYFUNCTION("IMPORTRANGE(""https://docs.google.com/spreadsheets/d/1SX6NBoVAgQJ6U1MVXOaj8PK2l7WJ3RER9xtqwdhxkhw/edit?usp=sharing"",""นครปฐม!J380"")"),0)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IFERROR(__xludf.DUMMYFUNCTION("IMPORTRANGE(""https://docs.google.com/spreadsheets/d/1SX6NBoVAgQJ6U1MVXOaj8PK2l7WJ3RER9xtqwdhxkhw/edit?usp=sharing"",""นครปฐม!I381"")"),0)</f>
        <v>0</v>
      </c>
      <c r="J486" s="189">
        <f ca="1">IFERROR(__xludf.DUMMYFUNCTION("IMPORTRANGE(""https://docs.google.com/spreadsheets/d/1SX6NBoVAgQJ6U1MVXOaj8PK2l7WJ3RER9xtqwdhxkhw/edit?usp=sharing"",""นครปฐม!J381"")"),0)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IFERROR(__xludf.DUMMYFUNCTION("IMPORTRANGE(""https://docs.google.com/spreadsheets/d/1SX6NBoVAgQJ6U1MVXOaj8PK2l7WJ3RER9xtqwdhxkhw/edit?usp=sharing"",""นครปฐม!I384"")"),0)</f>
        <v>0</v>
      </c>
      <c r="J489" s="189">
        <f ca="1">IFERROR(__xludf.DUMMYFUNCTION("IMPORTRANGE(""https://docs.google.com/spreadsheets/d/1SX6NBoVAgQJ6U1MVXOaj8PK2l7WJ3RER9xtqwdhxkhw/edit?usp=sharing"",""นครปฐม!J384"")"),0)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IFERROR(__xludf.DUMMYFUNCTION("IMPORTRANGE(""https://docs.google.com/spreadsheets/d/1SX6NBoVAgQJ6U1MVXOaj8PK2l7WJ3RER9xtqwdhxkhw/edit?usp=sharing"",""นครปฐม!I385"")"),0)</f>
        <v>0</v>
      </c>
      <c r="J490" s="189">
        <f ca="1">IFERROR(__xludf.DUMMYFUNCTION("IMPORTRANGE(""https://docs.google.com/spreadsheets/d/1SX6NBoVAgQJ6U1MVXOaj8PK2l7WJ3RER9xtqwdhxkhw/edit?usp=sharing"",""นครปฐม!J385"")"),0)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IFERROR(__xludf.DUMMYFUNCTION("IMPORTRANGE(""https://docs.google.com/spreadsheets/d/1SX6NBoVAgQJ6U1MVXOaj8PK2l7WJ3RER9xtqwdhxkhw/edit?usp=sharing"",""นครปฐม!I386"")"),0)</f>
        <v>0</v>
      </c>
      <c r="J491" s="189">
        <f ca="1">IFERROR(__xludf.DUMMYFUNCTION("IMPORTRANGE(""https://docs.google.com/spreadsheets/d/1SX6NBoVAgQJ6U1MVXOaj8PK2l7WJ3RER9xtqwdhxkhw/edit?usp=sharing"",""นครปฐม!J386"")"),0)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IFERROR(__xludf.DUMMYFUNCTION("IMPORTRANGE(""https://docs.google.com/spreadsheets/d/1SX6NBoVAgQJ6U1MVXOaj8PK2l7WJ3RER9xtqwdhxkhw/edit?usp=sharing"",""นครปฐม!I387"")"),0)</f>
        <v>0</v>
      </c>
      <c r="J492" s="189">
        <f ca="1">IFERROR(__xludf.DUMMYFUNCTION("IMPORTRANGE(""https://docs.google.com/spreadsheets/d/1SX6NBoVAgQJ6U1MVXOaj8PK2l7WJ3RER9xtqwdhxkhw/edit?usp=sharing"",""นครปฐม!J387"")"),0)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IFERROR(__xludf.DUMMYFUNCTION("IMPORTRANGE(""https://docs.google.com/spreadsheets/d/1SX6NBoVAgQJ6U1MVXOaj8PK2l7WJ3RER9xtqwdhxkhw/edit?usp=sharing"",""นครปฐม!I388"")"),0)</f>
        <v>0</v>
      </c>
      <c r="J493" s="189">
        <f ca="1">IFERROR(__xludf.DUMMYFUNCTION("IMPORTRANGE(""https://docs.google.com/spreadsheets/d/1SX6NBoVAgQJ6U1MVXOaj8PK2l7WJ3RER9xtqwdhxkhw/edit?usp=sharing"",""นครปฐม!J388"")"),0)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IFERROR(__xludf.DUMMYFUNCTION("IMPORTRANGE(""https://docs.google.com/spreadsheets/d/1SX6NBoVAgQJ6U1MVXOaj8PK2l7WJ3RER9xtqwdhxkhw/edit?usp=sharing"",""นครปฐม!I395"")"),0)</f>
        <v>0</v>
      </c>
      <c r="J500" s="162">
        <f ca="1">IFERROR(__xludf.DUMMYFUNCTION("IMPORTRANGE(""https://docs.google.com/spreadsheets/d/1SX6NBoVAgQJ6U1MVXOaj8PK2l7WJ3RER9xtqwdhxkhw/edit?usp=sharing"",""นครปฐม!J395"")"),0)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IFERROR(__xludf.DUMMYFUNCTION("IMPORTRANGE(""https://docs.google.com/spreadsheets/d/1SX6NBoVAgQJ6U1MVXOaj8PK2l7WJ3RER9xtqwdhxkhw/edit?usp=sharing"",""นครปฐม!I396"")"),0)</f>
        <v>0</v>
      </c>
      <c r="J501" s="162">
        <f ca="1">IFERROR(__xludf.DUMMYFUNCTION("IMPORTRANGE(""https://docs.google.com/spreadsheets/d/1SX6NBoVAgQJ6U1MVXOaj8PK2l7WJ3RER9xtqwdhxkhw/edit?usp=sharing"",""นครปฐม!J396"")"),0)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IFERROR(__xludf.DUMMYFUNCTION("IMPORTRANGE(""https://docs.google.com/spreadsheets/d/1SX6NBoVAgQJ6U1MVXOaj8PK2l7WJ3RER9xtqwdhxkhw/edit?usp=sharing"",""นครปฐม!I397"")"),0)</f>
        <v>0</v>
      </c>
      <c r="J502" s="189">
        <f ca="1">IFERROR(__xludf.DUMMYFUNCTION("IMPORTRANGE(""https://docs.google.com/spreadsheets/d/1SX6NBoVAgQJ6U1MVXOaj8PK2l7WJ3RER9xtqwdhxkhw/edit?usp=sharing"",""นครปฐม!J397"")"),0)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IFERROR(__xludf.DUMMYFUNCTION("IMPORTRANGE(""https://docs.google.com/spreadsheets/d/1SX6NBoVAgQJ6U1MVXOaj8PK2l7WJ3RER9xtqwdhxkhw/edit?usp=sharing"",""นครปฐม!I398"")"),0)</f>
        <v>0</v>
      </c>
      <c r="J503" s="198">
        <f ca="1">IFERROR(__xludf.DUMMYFUNCTION("IMPORTRANGE(""https://docs.google.com/spreadsheets/d/1SX6NBoVAgQJ6U1MVXOaj8PK2l7WJ3RER9xtqwdhxkhw/edit?usp=sharing"",""นครปฐม!J398"")"),0)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IFERROR(__xludf.DUMMYFUNCTION("IMPORTRANGE(""https://docs.google.com/spreadsheets/d/1SX6NBoVAgQJ6U1MVXOaj8PK2l7WJ3RER9xtqwdhxkhw/edit?usp=sharing"",""นครปฐม!I399"")"),0)</f>
        <v>0</v>
      </c>
      <c r="J504" s="189">
        <f ca="1">IFERROR(__xludf.DUMMYFUNCTION("IMPORTRANGE(""https://docs.google.com/spreadsheets/d/1SX6NBoVAgQJ6U1MVXOaj8PK2l7WJ3RER9xtqwdhxkhw/edit?usp=sharing"",""นครปฐม!J399"")"),0)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IFERROR(__xludf.DUMMYFUNCTION("IMPORTRANGE(""https://docs.google.com/spreadsheets/d/1SX6NBoVAgQJ6U1MVXOaj8PK2l7WJ3RER9xtqwdhxkhw/edit?usp=sharing"",""นครปฐม!I400"")"),0)</f>
        <v>0</v>
      </c>
      <c r="J505" s="198">
        <f ca="1">IFERROR(__xludf.DUMMYFUNCTION("IMPORTRANGE(""https://docs.google.com/spreadsheets/d/1SX6NBoVAgQJ6U1MVXOaj8PK2l7WJ3RER9xtqwdhxkhw/edit?usp=sharing"",""นครปฐม!J400"")"),0)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IFERROR(__xludf.DUMMYFUNCTION("IMPORTRANGE(""https://docs.google.com/spreadsheets/d/1SX6NBoVAgQJ6U1MVXOaj8PK2l7WJ3RER9xtqwdhxkhw/edit?usp=sharing"",""นครปฐม!I401"")"),0)</f>
        <v>0</v>
      </c>
      <c r="J506" s="189">
        <f ca="1">IFERROR(__xludf.DUMMYFUNCTION("IMPORTRANGE(""https://docs.google.com/spreadsheets/d/1SX6NBoVAgQJ6U1MVXOaj8PK2l7WJ3RER9xtqwdhxkhw/edit?usp=sharing"",""นครปฐม!J401"")"),0)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IFERROR(__xludf.DUMMYFUNCTION("IMPORTRANGE(""https://docs.google.com/spreadsheets/d/1SX6NBoVAgQJ6U1MVXOaj8PK2l7WJ3RER9xtqwdhxkhw/edit?usp=sharing"",""นครปฐม!I402"")"),0)</f>
        <v>0</v>
      </c>
      <c r="J507" s="198">
        <f ca="1">IFERROR(__xludf.DUMMYFUNCTION("IMPORTRANGE(""https://docs.google.com/spreadsheets/d/1SX6NBoVAgQJ6U1MVXOaj8PK2l7WJ3RER9xtqwdhxkhw/edit?usp=sharing"",""นครปฐม!J402"")"),0)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IFERROR(__xludf.DUMMYFUNCTION("IMPORTRANGE(""https://docs.google.com/spreadsheets/d/1SX6NBoVAgQJ6U1MVXOaj8PK2l7WJ3RER9xtqwdhxkhw/edit?usp=sharing"",""นครปฐม!I403"")"),0)</f>
        <v>0</v>
      </c>
      <c r="J508" s="162">
        <f ca="1">IFERROR(__xludf.DUMMYFUNCTION("IMPORTRANGE(""https://docs.google.com/spreadsheets/d/1SX6NBoVAgQJ6U1MVXOaj8PK2l7WJ3RER9xtqwdhxkhw/edit?usp=sharing"",""นครปฐม!J403"")"),0)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IFERROR(__xludf.DUMMYFUNCTION("IMPORTRANGE(""https://docs.google.com/spreadsheets/d/1SX6NBoVAgQJ6U1MVXOaj8PK2l7WJ3RER9xtqwdhxkhw/edit?usp=sharing"",""นครปฐม!I404"")"),0)</f>
        <v>0</v>
      </c>
      <c r="J509" s="162">
        <f ca="1">IFERROR(__xludf.DUMMYFUNCTION("IMPORTRANGE(""https://docs.google.com/spreadsheets/d/1SX6NBoVAgQJ6U1MVXOaj8PK2l7WJ3RER9xtqwdhxkhw/edit?usp=sharing"",""นครปฐม!J404"")"),0)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IFERROR(__xludf.DUMMYFUNCTION("IMPORTRANGE(""https://docs.google.com/spreadsheets/d/1SX6NBoVAgQJ6U1MVXOaj8PK2l7WJ3RER9xtqwdhxkhw/edit?usp=sharing"",""นครปฐม!I405"")"),0)</f>
        <v>0</v>
      </c>
      <c r="J510" s="198">
        <f ca="1">IFERROR(__xludf.DUMMYFUNCTION("IMPORTRANGE(""https://docs.google.com/spreadsheets/d/1SX6NBoVAgQJ6U1MVXOaj8PK2l7WJ3RER9xtqwdhxkhw/edit?usp=sharing"",""นครปฐม!J405"")"),0)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IFERROR(__xludf.DUMMYFUNCTION("IMPORTRANGE(""https://docs.google.com/spreadsheets/d/1SX6NBoVAgQJ6U1MVXOaj8PK2l7WJ3RER9xtqwdhxkhw/edit?usp=sharing"",""นครปฐม!I406"")"),0)</f>
        <v>0</v>
      </c>
      <c r="J511" s="198">
        <f ca="1">IFERROR(__xludf.DUMMYFUNCTION("IMPORTRANGE(""https://docs.google.com/spreadsheets/d/1SX6NBoVAgQJ6U1MVXOaj8PK2l7WJ3RER9xtqwdhxkhw/edit?usp=sharing"",""นครปฐม!J406"")"),0)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IFERROR(__xludf.DUMMYFUNCTION("IMPORTRANGE(""https://docs.google.com/spreadsheets/d/1SX6NBoVAgQJ6U1MVXOaj8PK2l7WJ3RER9xtqwdhxkhw/edit?usp=sharing"",""นครปฐม!I407"")"),0)</f>
        <v>0</v>
      </c>
      <c r="J512" s="198">
        <f ca="1">IFERROR(__xludf.DUMMYFUNCTION("IMPORTRANGE(""https://docs.google.com/spreadsheets/d/1SX6NBoVAgQJ6U1MVXOaj8PK2l7WJ3RER9xtqwdhxkhw/edit?usp=sharing"",""นครปฐม!J407"")"),0)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IFERROR(__xludf.DUMMYFUNCTION("IMPORTRANGE(""https://docs.google.com/spreadsheets/d/1SX6NBoVAgQJ6U1MVXOaj8PK2l7WJ3RER9xtqwdhxkhw/edit?usp=sharing"",""นครปฐม!I408"")"),0)</f>
        <v>0</v>
      </c>
      <c r="J513" s="198">
        <f ca="1">IFERROR(__xludf.DUMMYFUNCTION("IMPORTRANGE(""https://docs.google.com/spreadsheets/d/1SX6NBoVAgQJ6U1MVXOaj8PK2l7WJ3RER9xtqwdhxkhw/edit?usp=sharing"",""นครปฐม!J408"")"),0)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IFERROR(__xludf.DUMMYFUNCTION("IMPORTRANGE(""https://docs.google.com/spreadsheets/d/1SX6NBoVAgQJ6U1MVXOaj8PK2l7WJ3RER9xtqwdhxkhw/edit?usp=sharing"",""นครปฐม!I409"")"),0)</f>
        <v>0</v>
      </c>
      <c r="J514" s="198">
        <f ca="1">IFERROR(__xludf.DUMMYFUNCTION("IMPORTRANGE(""https://docs.google.com/spreadsheets/d/1SX6NBoVAgQJ6U1MVXOaj8PK2l7WJ3RER9xtqwdhxkhw/edit?usp=sharing"",""นครปฐม!J409"")"),0)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IFERROR(__xludf.DUMMYFUNCTION("IMPORTRANGE(""https://docs.google.com/spreadsheets/d/1SX6NBoVAgQJ6U1MVXOaj8PK2l7WJ3RER9xtqwdhxkhw/edit?usp=sharing"",""นครปฐม!I410"")"),0)</f>
        <v>0</v>
      </c>
      <c r="J515" s="198">
        <f ca="1">IFERROR(__xludf.DUMMYFUNCTION("IMPORTRANGE(""https://docs.google.com/spreadsheets/d/1SX6NBoVAgQJ6U1MVXOaj8PK2l7WJ3RER9xtqwdhxkhw/edit?usp=sharing"",""นครปฐม!J410"")"),0)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IFERROR(__xludf.DUMMYFUNCTION("IMPORTRANGE(""https://docs.google.com/spreadsheets/d/1SX6NBoVAgQJ6U1MVXOaj8PK2l7WJ3RER9xtqwdhxkhw/edit?usp=sharing"",""นครปฐม!I411"")"),0)</f>
        <v>0</v>
      </c>
      <c r="J516" s="268">
        <f ca="1">IFERROR(__xludf.DUMMYFUNCTION("IMPORTRANGE(""https://docs.google.com/spreadsheets/d/1SX6NBoVAgQJ6U1MVXOaj8PK2l7WJ3RER9xtqwdhxkhw/edit?usp=sharing"",""นครปฐม!J411"")"),0)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IFERROR(__xludf.DUMMYFUNCTION("IMPORTRANGE(""https://docs.google.com/spreadsheets/d/1SX6NBoVAgQJ6U1MVXOaj8PK2l7WJ3RER9xtqwdhxkhw/edit?usp=sharing"",""นครปฐม!I412"")"),0)</f>
        <v>0</v>
      </c>
      <c r="J517" s="285">
        <f ca="1">IFERROR(__xludf.DUMMYFUNCTION("IMPORTRANGE(""https://docs.google.com/spreadsheets/d/1SX6NBoVAgQJ6U1MVXOaj8PK2l7WJ3RER9xtqwdhxkhw/edit?usp=sharing"",""นครปฐม!J412"")"),0)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IFERROR(__xludf.DUMMYFUNCTION("IMPORTRANGE(""https://docs.google.com/spreadsheets/d/1SX6NBoVAgQJ6U1MVXOaj8PK2l7WJ3RER9xtqwdhxkhw/edit?usp=sharing"",""นครปฐม!I413"")"),0)</f>
        <v>0</v>
      </c>
      <c r="J518" s="285">
        <f ca="1">IFERROR(__xludf.DUMMYFUNCTION("IMPORTRANGE(""https://docs.google.com/spreadsheets/d/1SX6NBoVAgQJ6U1MVXOaj8PK2l7WJ3RER9xtqwdhxkhw/edit?usp=sharing"",""นครปฐม!J413"")"),0)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IFERROR(__xludf.DUMMYFUNCTION("IMPORTRANGE(""https://docs.google.com/spreadsheets/d/1SX6NBoVAgQJ6U1MVXOaj8PK2l7WJ3RER9xtqwdhxkhw/edit?usp=sharing"",""นครปฐม!I414"")"),0)</f>
        <v>0</v>
      </c>
      <c r="J519" s="188">
        <f ca="1">IFERROR(__xludf.DUMMYFUNCTION("IMPORTRANGE(""https://docs.google.com/spreadsheets/d/1SX6NBoVAgQJ6U1MVXOaj8PK2l7WJ3RER9xtqwdhxkhw/edit?usp=sharing"",""นครปฐม!J414"")"),0)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IFERROR(__xludf.DUMMYFUNCTION("IMPORTRANGE(""https://docs.google.com/spreadsheets/d/1SX6NBoVAgQJ6U1MVXOaj8PK2l7WJ3RER9xtqwdhxkhw/edit?usp=sharing"",""นครปฐม!I415"")"),0)</f>
        <v>0</v>
      </c>
      <c r="J520" s="188">
        <f ca="1">IFERROR(__xludf.DUMMYFUNCTION("IMPORTRANGE(""https://docs.google.com/spreadsheets/d/1SX6NBoVAgQJ6U1MVXOaj8PK2l7WJ3RER9xtqwdhxkhw/edit?usp=sharing"",""นครปฐม!J415"")"),0)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IFERROR(__xludf.DUMMYFUNCTION("IMPORTRANGE(""https://docs.google.com/spreadsheets/d/1SX6NBoVAgQJ6U1MVXOaj8PK2l7WJ3RER9xtqwdhxkhw/edit?usp=sharing"",""นครปฐม!I416"")"),0)</f>
        <v>0</v>
      </c>
      <c r="J521" s="188">
        <f ca="1">IFERROR(__xludf.DUMMYFUNCTION("IMPORTRANGE(""https://docs.google.com/spreadsheets/d/1SX6NBoVAgQJ6U1MVXOaj8PK2l7WJ3RER9xtqwdhxkhw/edit?usp=sharing"",""นครปฐม!J416"")"),0)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IFERROR(__xludf.DUMMYFUNCTION("IMPORTRANGE(""https://docs.google.com/spreadsheets/d/1SX6NBoVAgQJ6U1MVXOaj8PK2l7WJ3RER9xtqwdhxkhw/edit?usp=sharing"",""นครปฐม!I417"")"),0)</f>
        <v>0</v>
      </c>
      <c r="J522" s="188">
        <f ca="1">IFERROR(__xludf.DUMMYFUNCTION("IMPORTRANGE(""https://docs.google.com/spreadsheets/d/1SX6NBoVAgQJ6U1MVXOaj8PK2l7WJ3RER9xtqwdhxkhw/edit?usp=sharing"",""นครปฐม!J417"")"),0)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IFERROR(__xludf.DUMMYFUNCTION("IMPORTRANGE(""https://docs.google.com/spreadsheets/d/1SX6NBoVAgQJ6U1MVXOaj8PK2l7WJ3RER9xtqwdhxkhw/edit?usp=sharing"",""นครปฐม!I418"")"),0)</f>
        <v>0</v>
      </c>
      <c r="J523" s="188">
        <f ca="1">IFERROR(__xludf.DUMMYFUNCTION("IMPORTRANGE(""https://docs.google.com/spreadsheets/d/1SX6NBoVAgQJ6U1MVXOaj8PK2l7WJ3RER9xtqwdhxkhw/edit?usp=sharing"",""นครปฐม!J418"")"),0)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IFERROR(__xludf.DUMMYFUNCTION("IMPORTRANGE(""https://docs.google.com/spreadsheets/d/1SX6NBoVAgQJ6U1MVXOaj8PK2l7WJ3RER9xtqwdhxkhw/edit?usp=sharing"",""นครปฐม!I419"")"),0)</f>
        <v>0</v>
      </c>
      <c r="J524" s="188">
        <f ca="1">IFERROR(__xludf.DUMMYFUNCTION("IMPORTRANGE(""https://docs.google.com/spreadsheets/d/1SX6NBoVAgQJ6U1MVXOaj8PK2l7WJ3RER9xtqwdhxkhw/edit?usp=sharing"",""นครปฐม!J419"")"),0)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IFERROR(__xludf.DUMMYFUNCTION("IMPORTRANGE(""https://docs.google.com/spreadsheets/d/1SX6NBoVAgQJ6U1MVXOaj8PK2l7WJ3RER9xtqwdhxkhw/edit?usp=sharing"",""นครปฐม!I420"")"),0)</f>
        <v>0</v>
      </c>
      <c r="J525" s="285">
        <f ca="1">IFERROR(__xludf.DUMMYFUNCTION("IMPORTRANGE(""https://docs.google.com/spreadsheets/d/1SX6NBoVAgQJ6U1MVXOaj8PK2l7WJ3RER9xtqwdhxkhw/edit?usp=sharing"",""นครปฐม!J420"")"),0)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IFERROR(__xludf.DUMMYFUNCTION("IMPORTRANGE(""https://docs.google.com/spreadsheets/d/1SX6NBoVAgQJ6U1MVXOaj8PK2l7WJ3RER9xtqwdhxkhw/edit?usp=sharing"",""นครปฐม!I421"")"),0)</f>
        <v>0</v>
      </c>
      <c r="J526" s="285">
        <f ca="1">IFERROR(__xludf.DUMMYFUNCTION("IMPORTRANGE(""https://docs.google.com/spreadsheets/d/1SX6NBoVAgQJ6U1MVXOaj8PK2l7WJ3RER9xtqwdhxkhw/edit?usp=sharing"",""นครปฐม!J421"")"),0)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IFERROR(__xludf.DUMMYFUNCTION("IMPORTRANGE(""https://docs.google.com/spreadsheets/d/1SX6NBoVAgQJ6U1MVXOaj8PK2l7WJ3RER9xtqwdhxkhw/edit?usp=sharing"",""นครปฐม!I422"")"),0)</f>
        <v>0</v>
      </c>
      <c r="J527" s="198">
        <f ca="1">IFERROR(__xludf.DUMMYFUNCTION("IMPORTRANGE(""https://docs.google.com/spreadsheets/d/1SX6NBoVAgQJ6U1MVXOaj8PK2l7WJ3RER9xtqwdhxkhw/edit?usp=sharing"",""นครปฐม!J422"")"),0)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IFERROR(__xludf.DUMMYFUNCTION("IMPORTRANGE(""https://docs.google.com/spreadsheets/d/1SX6NBoVAgQJ6U1MVXOaj8PK2l7WJ3RER9xtqwdhxkhw/edit?usp=sharing"",""นครปฐม!I423"")"),0)</f>
        <v>0</v>
      </c>
      <c r="J528" s="198">
        <f ca="1">IFERROR(__xludf.DUMMYFUNCTION("IMPORTRANGE(""https://docs.google.com/spreadsheets/d/1SX6NBoVAgQJ6U1MVXOaj8PK2l7WJ3RER9xtqwdhxkhw/edit?usp=sharing"",""นครปฐม!J423"")"),0)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IFERROR(__xludf.DUMMYFUNCTION("IMPORTRANGE(""https://docs.google.com/spreadsheets/d/1SX6NBoVAgQJ6U1MVXOaj8PK2l7WJ3RER9xtqwdhxkhw/edit?usp=sharing"",""นครปฐม!I424"")"),0)</f>
        <v>0</v>
      </c>
      <c r="J529" s="198">
        <f ca="1">IFERROR(__xludf.DUMMYFUNCTION("IMPORTRANGE(""https://docs.google.com/spreadsheets/d/1SX6NBoVAgQJ6U1MVXOaj8PK2l7WJ3RER9xtqwdhxkhw/edit?usp=sharing"",""นครปฐม!J424"")"),0)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IFERROR(__xludf.DUMMYFUNCTION("IMPORTRANGE(""https://docs.google.com/spreadsheets/d/1SX6NBoVAgQJ6U1MVXOaj8PK2l7WJ3RER9xtqwdhxkhw/edit?usp=sharing"",""นครปฐม!I425"")"),0)</f>
        <v>0</v>
      </c>
      <c r="J530" s="198">
        <f ca="1">IFERROR(__xludf.DUMMYFUNCTION("IMPORTRANGE(""https://docs.google.com/spreadsheets/d/1SX6NBoVAgQJ6U1MVXOaj8PK2l7WJ3RER9xtqwdhxkhw/edit?usp=sharing"",""นครปฐม!J425"")"),0)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IFERROR(__xludf.DUMMYFUNCTION("IMPORTRANGE(""https://docs.google.com/spreadsheets/d/1SX6NBoVAgQJ6U1MVXOaj8PK2l7WJ3RER9xtqwdhxkhw/edit?usp=sharing"",""นครปฐม!I426"")"),0)</f>
        <v>0</v>
      </c>
      <c r="J531" s="198">
        <f ca="1">IFERROR(__xludf.DUMMYFUNCTION("IMPORTRANGE(""https://docs.google.com/spreadsheets/d/1SX6NBoVAgQJ6U1MVXOaj8PK2l7WJ3RER9xtqwdhxkhw/edit?usp=sharing"",""นครปฐม!J426"")"),0)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IFERROR(__xludf.DUMMYFUNCTION("IMPORTRANGE(""https://docs.google.com/spreadsheets/d/1SX6NBoVAgQJ6U1MVXOaj8PK2l7WJ3RER9xtqwdhxkhw/edit?usp=sharing"",""นครปฐม!M428"")"),29300)</f>
        <v>29300</v>
      </c>
      <c r="O533" s="412">
        <f t="shared" ref="O533:O537" ca="1" si="118">+IF(L533&gt;0,N533*100/L533,0)</f>
        <v>89.767156862745097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IFERROR(__xludf.DUMMYFUNCTION("IMPORTRANGE(""https://docs.google.com/spreadsheets/d/1SX6NBoVAgQJ6U1MVXOaj8PK2l7WJ3RER9xtqwdhxkhw/edit?usp=sharing"",""นครปฐม!L429"")"),0)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IFERROR(__xludf.DUMMYFUNCTION("IMPORTRANGE(""https://docs.google.com/spreadsheets/d/1SX6NBoVAgQJ6U1MVXOaj8PK2l7WJ3RER9xtqwdhxkhw/edit?usp=sharing"",""นครปฐม!M429"")"),0)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IFERROR(__xludf.DUMMYFUNCTION("IMPORTRANGE(""https://docs.google.com/spreadsheets/d/1SX6NBoVAgQJ6U1MVXOaj8PK2l7WJ3RER9xtqwdhxkhw/edit?usp=sharing"",""นครปฐม!L430"")"),32640)</f>
        <v>32640</v>
      </c>
      <c r="M535" s="165"/>
      <c r="N535" s="169">
        <f ca="1">IFERROR(__xludf.DUMMYFUNCTION("IMPORTRANGE(""https://docs.google.com/spreadsheets/d/1SX6NBoVAgQJ6U1MVXOaj8PK2l7WJ3RER9xtqwdhxkhw/edit?usp=sharing"",""นครปฐม!M430"")"),29300)</f>
        <v>29300</v>
      </c>
      <c r="O535" s="169">
        <f t="shared" ca="1" si="118"/>
        <v>89.767156862745097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IFERROR(__xludf.DUMMYFUNCTION("IMPORTRANGE(""https://docs.google.com/spreadsheets/d/1SX6NBoVAgQJ6U1MVXOaj8PK2l7WJ3RER9xtqwdhxkhw/edit?usp=sharing"",""นครปฐม!L431"")"),0)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IFERROR(__xludf.DUMMYFUNCTION("IMPORTRANGE(""https://docs.google.com/spreadsheets/d/1SX6NBoVAgQJ6U1MVXOaj8PK2l7WJ3RER9xtqwdhxkhw/edit?usp=sharing"",""นครปฐม!M431"")"),0)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IFERROR(__xludf.DUMMYFUNCTION("IMPORTRANGE(""https://docs.google.com/spreadsheets/d/1SX6NBoVAgQJ6U1MVXOaj8PK2l7WJ3RER9xtqwdhxkhw/edit?usp=sharing"",""นครปฐม!L432"")"),32640)</f>
        <v>32640</v>
      </c>
      <c r="M537" s="169"/>
      <c r="N537" s="169">
        <f ca="1">IFERROR(__xludf.DUMMYFUNCTION("IMPORTRANGE(""https://docs.google.com/spreadsheets/d/1SX6NBoVAgQJ6U1MVXOaj8PK2l7WJ3RER9xtqwdhxkhw/edit?usp=sharing"",""นครปฐม!M432"")"),29300)</f>
        <v>29300</v>
      </c>
      <c r="O537" s="169">
        <f t="shared" ca="1" si="118"/>
        <v>89.767156862745097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IFERROR(__xludf.DUMMYFUNCTION("IMPORTRANGE(""https://docs.google.com/spreadsheets/d/1SX6NBoVAgQJ6U1MVXOaj8PK2l7WJ3RER9xtqwdhxkhw/edit?usp=sharing"",""นครปฐม!M436"")"),12260)</f>
        <v>12260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IFERROR(__xludf.DUMMYFUNCTION("IMPORTRANGE(""https://docs.google.com/spreadsheets/d/1SX6NBoVAgQJ6U1MVXOaj8PK2l7WJ3RER9xtqwdhxkhw/edit?usp=sharing"",""นครปฐม!J438"")"),0)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IFERROR(__xludf.DUMMYFUNCTION("IMPORTRANGE(""https://docs.google.com/spreadsheets/d/1SX6NBoVAgQJ6U1MVXOaj8PK2l7WJ3RER9xtqwdhxkhw/edit?usp=sharing"",""นครปฐม!J439"")"),1)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IFERROR(__xludf.DUMMYFUNCTION("IMPORTRANGE(""https://docs.google.com/spreadsheets/d/1SX6NBoVAgQJ6U1MVXOaj8PK2l7WJ3RER9xtqwdhxkhw/edit?usp=sharing"",""นครปฐม!J440"")"),1)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IFERROR(__xludf.DUMMYFUNCTION("IMPORTRANGE(""https://docs.google.com/spreadsheets/d/1SX6NBoVAgQJ6U1MVXOaj8PK2l7WJ3RER9xtqwdhxkhw/edit?usp=sharing"",""นครปฐม!J441"")"),1)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IFERROR(__xludf.DUMMYFUNCTION("IMPORTRANGE(""https://docs.google.com/spreadsheets/d/1SX6NBoVAgQJ6U1MVXOaj8PK2l7WJ3RER9xtqwdhxkhw/edit?usp=sharing"",""นครปฐม!I442"")"),20)</f>
        <v>20</v>
      </c>
      <c r="J547" s="189">
        <f ca="1">IFERROR(__xludf.DUMMYFUNCTION("IMPORTRANGE(""https://docs.google.com/spreadsheets/d/1SX6NBoVAgQJ6U1MVXOaj8PK2l7WJ3RER9xtqwdhxkhw/edit?usp=sharing"",""นครปฐม!J442"")"),20)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IFERROR(__xludf.DUMMYFUNCTION("IMPORTRANGE(""https://docs.google.com/spreadsheets/d/1SX6NBoVAgQJ6U1MVXOaj8PK2l7WJ3RER9xtqwdhxkhw/edit?usp=sharing"",""นครปฐม!J166"")"),0)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IFERROR(__xludf.DUMMYFUNCTION("IMPORTRANGE(""https://docs.google.com/spreadsheets/d/1SX6NBoVAgQJ6U1MVXOaj8PK2l7WJ3RER9xtqwdhxkhw/edit?usp=sharing"",""นครปฐม!J444"")"),0)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IFERROR(__xludf.DUMMYFUNCTION("IMPORTRANGE(""https://docs.google.com/spreadsheets/d/1SX6NBoVAgQJ6U1MVXOaj8PK2l7WJ3RER9xtqwdhxkhw/edit?usp=sharing"",""นครปฐม!L447"")"),0)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IFERROR(__xludf.DUMMYFUNCTION("IMPORTRANGE(""https://docs.google.com/spreadsheets/d/1SX6NBoVAgQJ6U1MVXOaj8PK2l7WJ3RER9xtqwdhxkhw/edit?usp=sharing"",""นครปฐม!M447"")"),0)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IFERROR(__xludf.DUMMYFUNCTION("IMPORTRANGE(""https://docs.google.com/spreadsheets/d/1SX6NBoVAgQJ6U1MVXOaj8PK2l7WJ3RER9xtqwdhxkhw/edit?usp=sharing"",""นครปฐม!L448"")"),0)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IFERROR(__xludf.DUMMYFUNCTION("IMPORTRANGE(""https://docs.google.com/spreadsheets/d/1SX6NBoVAgQJ6U1MVXOaj8PK2l7WJ3RER9xtqwdhxkhw/edit?usp=sharing"",""นครปฐม!M448"")"),0)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IFERROR(__xludf.DUMMYFUNCTION("IMPORTRANGE(""https://docs.google.com/spreadsheets/d/1SX6NBoVAgQJ6U1MVXOaj8PK2l7WJ3RER9xtqwdhxkhw/edit?usp=sharing"",""นครปฐม!L449"")"),0)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IFERROR(__xludf.DUMMYFUNCTION("IMPORTRANGE(""https://docs.google.com/spreadsheets/d/1SX6NBoVAgQJ6U1MVXOaj8PK2l7WJ3RER9xtqwdhxkhw/edit?usp=sharing"",""นครปฐม!M449"")"),0)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IFERROR(__xludf.DUMMYFUNCTION("IMPORTRANGE(""https://docs.google.com/spreadsheets/d/1SX6NBoVAgQJ6U1MVXOaj8PK2l7WJ3RER9xtqwdhxkhw/edit?usp=sharing"",""นครปฐม!L450"")"),0)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IFERROR(__xludf.DUMMYFUNCTION("IMPORTRANGE(""https://docs.google.com/spreadsheets/d/1SX6NBoVAgQJ6U1MVXOaj8PK2l7WJ3RER9xtqwdhxkhw/edit?usp=sharing"",""นครปฐม!M450"")"),0)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IFERROR(__xludf.DUMMYFUNCTION("IMPORTRANGE(""https://docs.google.com/spreadsheets/d/1SX6NBoVAgQJ6U1MVXOaj8PK2l7WJ3RER9xtqwdhxkhw/edit?usp=sharing"",""นครปฐม!M451"")"),0)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IFERROR(__xludf.DUMMYFUNCTION("IMPORTRANGE(""https://docs.google.com/spreadsheets/d/1SX6NBoVAgQJ6U1MVXOaj8PK2l7WJ3RER9xtqwdhxkhw/edit?usp=sharing"",""นครปฐม!M452"")"),0)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IFERROR(__xludf.DUMMYFUNCTION("IMPORTRANGE(""https://docs.google.com/spreadsheets/d/1SX6NBoVAgQJ6U1MVXOaj8PK2l7WJ3RER9xtqwdhxkhw/edit?usp=sharing"",""นครปฐม!M453"")"),0)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IFERROR(__xludf.DUMMYFUNCTION("IMPORTRANGE(""https://docs.google.com/spreadsheets/d/1SX6NBoVAgQJ6U1MVXOaj8PK2l7WJ3RER9xtqwdhxkhw/edit?usp=sharing"",""นครปฐม!M454"")"),0)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IFERROR(__xludf.DUMMYFUNCTION("IMPORTRANGE(""https://docs.google.com/spreadsheets/d/1SX6NBoVAgQJ6U1MVXOaj8PK2l7WJ3RER9xtqwdhxkhw/edit?usp=sharing"",""นครปฐม!I455"")"),0)</f>
        <v>0</v>
      </c>
      <c r="J560" s="162">
        <f ca="1">IFERROR(__xludf.DUMMYFUNCTION("IMPORTRANGE(""https://docs.google.com/spreadsheets/d/1SX6NBoVAgQJ6U1MVXOaj8PK2l7WJ3RER9xtqwdhxkhw/edit?usp=sharing"",""นครปฐม!J455"")"),0)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IFERROR(__xludf.DUMMYFUNCTION("IMPORTRANGE(""https://docs.google.com/spreadsheets/d/1SX6NBoVAgQJ6U1MVXOaj8PK2l7WJ3RER9xtqwdhxkhw/edit?usp=sharing"",""นครปฐม!I456"")"),0)</f>
        <v>0</v>
      </c>
      <c r="J561" s="204">
        <f ca="1">IFERROR(__xludf.DUMMYFUNCTION("IMPORTRANGE(""https://docs.google.com/spreadsheets/d/1SX6NBoVAgQJ6U1MVXOaj8PK2l7WJ3RER9xtqwdhxkhw/edit?usp=sharing"",""นครปฐม!J456"")"),0)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IFERROR(__xludf.DUMMYFUNCTION("IMPORTRANGE(""https://docs.google.com/spreadsheets/d/1SX6NBoVAgQJ6U1MVXOaj8PK2l7WJ3RER9xtqwdhxkhw/edit?usp=sharing"",""นครปฐม!J459"")"),126)</f>
        <v>126</v>
      </c>
      <c r="K564" s="372">
        <f ca="1">IF(I564&gt;0,J564*100/I564,0)</f>
        <v>126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IFERROR(__xludf.DUMMYFUNCTION("IMPORTRANGE(""https://docs.google.com/spreadsheets/d/1SX6NBoVAgQJ6U1MVXOaj8PK2l7WJ3RER9xtqwdhxkhw/edit?usp=sharing"",""นครปฐม!M459"")"),79483.44)</f>
        <v>79483.44</v>
      </c>
      <c r="O564" s="373">
        <f t="shared" ref="O564:O568" ca="1" si="122">+IF(L564&gt;0,N564*100/L564,0)</f>
        <v>68.425826446280993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IFERROR(__xludf.DUMMYFUNCTION("IMPORTRANGE(""https://docs.google.com/spreadsheets/d/1SX6NBoVAgQJ6U1MVXOaj8PK2l7WJ3RER9xtqwdhxkhw/edit?usp=sharing"",""นครปฐม!L460"")"),0)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IFERROR(__xludf.DUMMYFUNCTION("IMPORTRANGE(""https://docs.google.com/spreadsheets/d/1SX6NBoVAgQJ6U1MVXOaj8PK2l7WJ3RER9xtqwdhxkhw/edit?usp=sharing"",""นครปฐม!M460"")"),0)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IFERROR(__xludf.DUMMYFUNCTION("IMPORTRANGE(""https://docs.google.com/spreadsheets/d/1SX6NBoVAgQJ6U1MVXOaj8PK2l7WJ3RER9xtqwdhxkhw/edit?usp=sharing"",""นครปฐม!L461"")"),116160)</f>
        <v>116160</v>
      </c>
      <c r="M566" s="165"/>
      <c r="N566" s="169">
        <f ca="1">IFERROR(__xludf.DUMMYFUNCTION("IMPORTRANGE(""https://docs.google.com/spreadsheets/d/1SX6NBoVAgQJ6U1MVXOaj8PK2l7WJ3RER9xtqwdhxkhw/edit?usp=sharing"",""นครปฐม!M461"")"),79483.44)</f>
        <v>79483.44</v>
      </c>
      <c r="O566" s="169">
        <f t="shared" ca="1" si="122"/>
        <v>68.425826446280993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IFERROR(__xludf.DUMMYFUNCTION("IMPORTRANGE(""https://docs.google.com/spreadsheets/d/1SX6NBoVAgQJ6U1MVXOaj8PK2l7WJ3RER9xtqwdhxkhw/edit?usp=sharing"",""นครปฐม!L462"")"),0)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IFERROR(__xludf.DUMMYFUNCTION("IMPORTRANGE(""https://docs.google.com/spreadsheets/d/1SX6NBoVAgQJ6U1MVXOaj8PK2l7WJ3RER9xtqwdhxkhw/edit?usp=sharing"",""นครปฐม!M462"")"),0)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IFERROR(__xludf.DUMMYFUNCTION("IMPORTRANGE(""https://docs.google.com/spreadsheets/d/1SX6NBoVAgQJ6U1MVXOaj8PK2l7WJ3RER9xtqwdhxkhw/edit?usp=sharing"",""นครปฐม!L463"")"),116160)</f>
        <v>116160</v>
      </c>
      <c r="M568" s="169"/>
      <c r="N568" s="169">
        <f ca="1">IFERROR(__xludf.DUMMYFUNCTION("IMPORTRANGE(""https://docs.google.com/spreadsheets/d/1SX6NBoVAgQJ6U1MVXOaj8PK2l7WJ3RER9xtqwdhxkhw/edit?usp=sharing"",""นครปฐม!M463"")"),79483.44)</f>
        <v>79483.44</v>
      </c>
      <c r="O568" s="169">
        <f t="shared" ca="1" si="122"/>
        <v>68.425826446280993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IFERROR(__xludf.DUMMYFUNCTION("IMPORTRANGE(""https://docs.google.com/spreadsheets/d/1SX6NBoVAgQJ6U1MVXOaj8PK2l7WJ3RER9xtqwdhxkhw/edit?usp=sharing"",""นครปฐม!M464"")"),0)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IFERROR(__xludf.DUMMYFUNCTION("IMPORTRANGE(""https://docs.google.com/spreadsheets/d/1SX6NBoVAgQJ6U1MVXOaj8PK2l7WJ3RER9xtqwdhxkhw/edit?usp=sharing"",""นครปฐม!M465"")"),0)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IFERROR(__xludf.DUMMYFUNCTION("IMPORTRANGE(""https://docs.google.com/spreadsheets/d/1SX6NBoVAgQJ6U1MVXOaj8PK2l7WJ3RER9xtqwdhxkhw/edit?usp=sharing"",""นครปฐม!M466"")"),71133.44)</f>
        <v>71133.440000000002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IFERROR(__xludf.DUMMYFUNCTION("IMPORTRANGE(""https://docs.google.com/spreadsheets/d/1SX6NBoVAgQJ6U1MVXOaj8PK2l7WJ3RER9xtqwdhxkhw/edit?usp=sharing"",""นครปฐม!M467"")"),8350)</f>
        <v>8350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IFERROR(__xludf.DUMMYFUNCTION("IMPORTRANGE(""https://docs.google.com/spreadsheets/d/1SX6NBoVAgQJ6U1MVXOaj8PK2l7WJ3RER9xtqwdhxkhw/edit?usp=sharing"",""นครปฐม!J468"")"),126)</f>
        <v>126</v>
      </c>
      <c r="K573" s="202">
        <f ca="1">IF(I573&gt;0,J573*100/I573,0)</f>
        <v>126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IFERROR(__xludf.DUMMYFUNCTION("IMPORTRANGE(""https://docs.google.com/spreadsheets/d/1SX6NBoVAgQJ6U1MVXOaj8PK2l7WJ3RER9xtqwdhxkhw/edit?usp=sharing"",""นครปฐม!I470"")"),0)</f>
        <v>0</v>
      </c>
      <c r="J575" s="198">
        <f ca="1">IFERROR(__xludf.DUMMYFUNCTION("IMPORTRANGE(""https://docs.google.com/spreadsheets/d/1SX6NBoVAgQJ6U1MVXOaj8PK2l7WJ3RER9xtqwdhxkhw/edit?usp=sharing"",""นครปฐม!J470"")"),2)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IFERROR(__xludf.DUMMYFUNCTION("IMPORTRANGE(""https://docs.google.com/spreadsheets/d/1SX6NBoVAgQJ6U1MVXOaj8PK2l7WJ3RER9xtqwdhxkhw/edit?usp=sharing"",""นครปฐม!I471"")"),0)</f>
        <v>0</v>
      </c>
      <c r="J576" s="198">
        <f ca="1">IFERROR(__xludf.DUMMYFUNCTION("IMPORTRANGE(""https://docs.google.com/spreadsheets/d/1SX6NBoVAgQJ6U1MVXOaj8PK2l7WJ3RER9xtqwdhxkhw/edit?usp=sharing"",""นครปฐม!J471"")"),26)</f>
        <v>26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IFERROR(__xludf.DUMMYFUNCTION("IMPORTRANGE(""https://docs.google.com/spreadsheets/d/1SX6NBoVAgQJ6U1MVXOaj8PK2l7WJ3RER9xtqwdhxkhw/edit?usp=sharing"",""นครปฐม!I472"")"),0)</f>
        <v>0</v>
      </c>
      <c r="J577" s="189">
        <f ca="1">IFERROR(__xludf.DUMMYFUNCTION("IMPORTRANGE(""https://docs.google.com/spreadsheets/d/1SX6NBoVAgQJ6U1MVXOaj8PK2l7WJ3RER9xtqwdhxkhw/edit?usp=sharing"",""นครปฐม!J472"")"),92)</f>
        <v>92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IFERROR(__xludf.DUMMYFUNCTION("IMPORTRANGE(""https://docs.google.com/spreadsheets/d/1SX6NBoVAgQJ6U1MVXOaj8PK2l7WJ3RER9xtqwdhxkhw/edit?usp=sharing"",""นครปฐม!I473"")"),0)</f>
        <v>0</v>
      </c>
      <c r="J578" s="198">
        <f ca="1">IFERROR(__xludf.DUMMYFUNCTION("IMPORTRANGE(""https://docs.google.com/spreadsheets/d/1SX6NBoVAgQJ6U1MVXOaj8PK2l7WJ3RER9xtqwdhxkhw/edit?usp=sharing"",""นครปฐม!J473"")"),7)</f>
        <v>7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IFERROR(__xludf.DUMMYFUNCTION("IMPORTRANGE(""https://docs.google.com/spreadsheets/d/1SX6NBoVAgQJ6U1MVXOaj8PK2l7WJ3RER9xtqwdhxkhw/edit?usp=sharing"",""นครปฐม!I474"")"),0)</f>
        <v>0</v>
      </c>
      <c r="J579" s="198">
        <f ca="1">IFERROR(__xludf.DUMMYFUNCTION("IMPORTRANGE(""https://docs.google.com/spreadsheets/d/1SX6NBoVAgQJ6U1MVXOaj8PK2l7WJ3RER9xtqwdhxkhw/edit?usp=sharing"",""นครปฐม!J474"")"),1)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IFERROR(__xludf.DUMMYFUNCTION("IMPORTRANGE(""https://docs.google.com/spreadsheets/d/1SX6NBoVAgQJ6U1MVXOaj8PK2l7WJ3RER9xtqwdhxkhw/edit?usp=sharing"",""นครปฐม!L476"")"),0)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IFERROR(__xludf.DUMMYFUNCTION("IMPORTRANGE(""https://docs.google.com/spreadsheets/d/1SX6NBoVAgQJ6U1MVXOaj8PK2l7WJ3RER9xtqwdhxkhw/edit?usp=sharing"",""นครปฐม!M476"")"),0)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IFERROR(__xludf.DUMMYFUNCTION("IMPORTRANGE(""https://docs.google.com/spreadsheets/d/1SX6NBoVAgQJ6U1MVXOaj8PK2l7WJ3RER9xtqwdhxkhw/edit?usp=sharing"",""นครปฐม!L477"")"),0)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IFERROR(__xludf.DUMMYFUNCTION("IMPORTRANGE(""https://docs.google.com/spreadsheets/d/1SX6NBoVAgQJ6U1MVXOaj8PK2l7WJ3RER9xtqwdhxkhw/edit?usp=sharing"",""นครปฐม!M477"")"),0)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IFERROR(__xludf.DUMMYFUNCTION("IMPORTRANGE(""https://docs.google.com/spreadsheets/d/1SX6NBoVAgQJ6U1MVXOaj8PK2l7WJ3RER9xtqwdhxkhw/edit?usp=sharing"",""นครปฐม!L478"")"),0)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IFERROR(__xludf.DUMMYFUNCTION("IMPORTRANGE(""https://docs.google.com/spreadsheets/d/1SX6NBoVAgQJ6U1MVXOaj8PK2l7WJ3RER9xtqwdhxkhw/edit?usp=sharing"",""นครปฐม!M478"")"),0)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IFERROR(__xludf.DUMMYFUNCTION("IMPORTRANGE(""https://docs.google.com/spreadsheets/d/1SX6NBoVAgQJ6U1MVXOaj8PK2l7WJ3RER9xtqwdhxkhw/edit?usp=sharing"",""นครปฐม!L479"")"),0)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IFERROR(__xludf.DUMMYFUNCTION("IMPORTRANGE(""https://docs.google.com/spreadsheets/d/1SX6NBoVAgQJ6U1MVXOaj8PK2l7WJ3RER9xtqwdhxkhw/edit?usp=sharing"",""นครปฐม!M479"")"),0)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IFERROR(__xludf.DUMMYFUNCTION("IMPORTRANGE(""https://docs.google.com/spreadsheets/d/1SX6NBoVAgQJ6U1MVXOaj8PK2l7WJ3RER9xtqwdhxkhw/edit?usp=sharing"",""นครปฐม!M480"")"),0)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IFERROR(__xludf.DUMMYFUNCTION("IMPORTRANGE(""https://docs.google.com/spreadsheets/d/1SX6NBoVAgQJ6U1MVXOaj8PK2l7WJ3RER9xtqwdhxkhw/edit?usp=sharing"",""นครปฐม!M481"")"),0)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IFERROR(__xludf.DUMMYFUNCTION("IMPORTRANGE(""https://docs.google.com/spreadsheets/d/1SX6NBoVAgQJ6U1MVXOaj8PK2l7WJ3RER9xtqwdhxkhw/edit?usp=sharing"",""นครปฐม!M482"")"),0)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IFERROR(__xludf.DUMMYFUNCTION("IMPORTRANGE(""https://docs.google.com/spreadsheets/d/1SX6NBoVAgQJ6U1MVXOaj8PK2l7WJ3RER9xtqwdhxkhw/edit?usp=sharing"",""นครปฐม!M483"")"),0)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IFERROR(__xludf.DUMMYFUNCTION("IMPORTRANGE(""https://docs.google.com/spreadsheets/d/1SX6NBoVAgQJ6U1MVXOaj8PK2l7WJ3RER9xtqwdhxkhw/edit?usp=sharing"",""นครปฐม!I484"")"),0)</f>
        <v>0</v>
      </c>
      <c r="J589" s="188">
        <f ca="1">IFERROR(__xludf.DUMMYFUNCTION("IMPORTRANGE(""https://docs.google.com/spreadsheets/d/1SX6NBoVAgQJ6U1MVXOaj8PK2l7WJ3RER9xtqwdhxkhw/edit?usp=sharing"",""นครปฐม!J484"")"),0)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8">
        <f ca="1">IFERROR(__xludf.DUMMYFUNCTION("IMPORTRANGE(""https://docs.google.com/spreadsheets/d/1SX6NBoVAgQJ6U1MVXOaj8PK2l7WJ3RER9xtqwdhxkhw/edit?usp=sharing"",""นครปฐม!J485"")"),0)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IFERROR(__xludf.DUMMYFUNCTION("IMPORTRANGE(""https://docs.google.com/spreadsheets/d/1SX6NBoVAgQJ6U1MVXOaj8PK2l7WJ3RER9xtqwdhxkhw/edit?usp=sharing"",""นครปฐม!I486"")"),0)</f>
        <v>0</v>
      </c>
      <c r="J591" s="188">
        <f ca="1">IFERROR(__xludf.DUMMYFUNCTION("IMPORTRANGE(""https://docs.google.com/spreadsheets/d/1SX6NBoVAgQJ6U1MVXOaj8PK2l7WJ3RER9xtqwdhxkhw/edit?usp=sharing"",""นครปฐม!J486"")"),0)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8">
        <f ca="1">IFERROR(__xludf.DUMMYFUNCTION("IMPORTRANGE(""https://docs.google.com/spreadsheets/d/1SX6NBoVAgQJ6U1MVXOaj8PK2l7WJ3RER9xtqwdhxkhw/edit?usp=sharing"",""นครปฐม!J487"")"),0)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IFERROR(__xludf.DUMMYFUNCTION("IMPORTRANGE(""https://docs.google.com/spreadsheets/d/1SX6NBoVAgQJ6U1MVXOaj8PK2l7WJ3RER9xtqwdhxkhw/edit?usp=sharing"",""นครปฐม!I488"")"),0)</f>
        <v>0</v>
      </c>
      <c r="J593" s="188">
        <f ca="1">IFERROR(__xludf.DUMMYFUNCTION("IMPORTRANGE(""https://docs.google.com/spreadsheets/d/1SX6NBoVAgQJ6U1MVXOaj8PK2l7WJ3RER9xtqwdhxkhw/edit?usp=sharing"",""นครปฐม!J488"")"),0)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8">
        <f ca="1">IFERROR(__xludf.DUMMYFUNCTION("IMPORTRANGE(""https://docs.google.com/spreadsheets/d/1SX6NBoVAgQJ6U1MVXOaj8PK2l7WJ3RER9xtqwdhxkhw/edit?usp=sharing"",""นครปฐม!J489"")"),0)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IFERROR(__xludf.DUMMYFUNCTION("IMPORTRANGE(""https://docs.google.com/spreadsheets/d/1SX6NBoVAgQJ6U1MVXOaj8PK2l7WJ3RER9xtqwdhxkhw/edit?usp=sharing"",""นครปฐม!I490"")"),0)</f>
        <v>0</v>
      </c>
      <c r="J595" s="188">
        <f ca="1">IFERROR(__xludf.DUMMYFUNCTION("IMPORTRANGE(""https://docs.google.com/spreadsheets/d/1SX6NBoVAgQJ6U1MVXOaj8PK2l7WJ3RER9xtqwdhxkhw/edit?usp=sharing"",""นครปฐม!J490"")"),0)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IFERROR(__xludf.DUMMYFUNCTION("IMPORTRANGE(""https://docs.google.com/spreadsheets/d/1SX6NBoVAgQJ6U1MVXOaj8PK2l7WJ3RER9xtqwdhxkhw/edit?usp=sharing"",""นครปฐม!I491"")"),0)</f>
        <v>0</v>
      </c>
      <c r="J596" s="242">
        <f ca="1">IFERROR(__xludf.DUMMYFUNCTION("IMPORTRANGE(""https://docs.google.com/spreadsheets/d/1SX6NBoVAgQJ6U1MVXOaj8PK2l7WJ3RER9xtqwdhxkhw/edit?usp=sharing"",""นครปฐม!J491"")"),0)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7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IFERROR(__xludf.DUMMYFUNCTION("IMPORTRANGE(""https://docs.google.com/spreadsheets/d/1SX6NBoVAgQJ6U1MVXOaj8PK2l7WJ3RER9xtqwdhxkhw/edit?usp=sharing"",""นครปฐม!L492"")"),4550)</f>
        <v>4550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8.791208791208792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IFERROR(__xludf.DUMMYFUNCTION("IMPORTRANGE(""https://docs.google.com/spreadsheets/d/1SX6NBoVAgQJ6U1MVXOaj8PK2l7WJ3RER9xtqwdhxkhw/edit?usp=sharing"",""นครปฐม!L493"")"),0)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IFERROR(__xludf.DUMMYFUNCTION("IMPORTRANGE(""https://docs.google.com/spreadsheets/d/1SX6NBoVAgQJ6U1MVXOaj8PK2l7WJ3RER9xtqwdhxkhw/edit?usp=sharing"",""นครปฐม!M493"")"),0)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IFERROR(__xludf.DUMMYFUNCTION("IMPORTRANGE(""https://docs.google.com/spreadsheets/d/1SX6NBoVAgQJ6U1MVXOaj8PK2l7WJ3RER9xtqwdhxkhw/edit?usp=sharing"",""นครปฐม!L494"")"),4550)</f>
        <v>4550</v>
      </c>
      <c r="M599" s="165"/>
      <c r="N599" s="169">
        <f ca="1">IFERROR(__xludf.DUMMYFUNCTION("IMPORTRANGE(""https://docs.google.com/spreadsheets/d/1SX6NBoVAgQJ6U1MVXOaj8PK2l7WJ3RER9xtqwdhxkhw/edit?usp=sharing"",""นครปฐม!M494"")"),400)</f>
        <v>400</v>
      </c>
      <c r="O599" s="169">
        <f t="shared" ca="1" si="126"/>
        <v>8.791208791208792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IFERROR(__xludf.DUMMYFUNCTION("IMPORTRANGE(""https://docs.google.com/spreadsheets/d/1SX6NBoVAgQJ6U1MVXOaj8PK2l7WJ3RER9xtqwdhxkhw/edit?usp=sharing"",""นครปฐม!L495"")"),0)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IFERROR(__xludf.DUMMYFUNCTION("IMPORTRANGE(""https://docs.google.com/spreadsheets/d/1SX6NBoVAgQJ6U1MVXOaj8PK2l7WJ3RER9xtqwdhxkhw/edit?usp=sharing"",""นครปฐม!M495"")"),0)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IFERROR(__xludf.DUMMYFUNCTION("IMPORTRANGE(""https://docs.google.com/spreadsheets/d/1SX6NBoVAgQJ6U1MVXOaj8PK2l7WJ3RER9xtqwdhxkhw/edit?usp=sharing"",""นครปฐม!L496"")"),4550)</f>
        <v>4550</v>
      </c>
      <c r="M601" s="169"/>
      <c r="N601" s="169">
        <f ca="1">IFERROR(__xludf.DUMMYFUNCTION("IMPORTRANGE(""https://docs.google.com/spreadsheets/d/1SX6NBoVAgQJ6U1MVXOaj8PK2l7WJ3RER9xtqwdhxkhw/edit?usp=sharing"",""นครปฐม!M496"")"),400)</f>
        <v>400</v>
      </c>
      <c r="O601" s="169">
        <f t="shared" ca="1" si="126"/>
        <v>8.791208791208792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IFERROR(__xludf.DUMMYFUNCTION("IMPORTRANGE(""https://docs.google.com/spreadsheets/d/1SX6NBoVAgQJ6U1MVXOaj8PK2l7WJ3RER9xtqwdhxkhw/edit?usp=sharing"",""นครปฐม!M497"")"),0)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IFERROR(__xludf.DUMMYFUNCTION("IMPORTRANGE(""https://docs.google.com/spreadsheets/d/1SX6NBoVAgQJ6U1MVXOaj8PK2l7WJ3RER9xtqwdhxkhw/edit?usp=sharing"",""นครปฐม!M498"")"),0)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IFERROR(__xludf.DUMMYFUNCTION("IMPORTRANGE(""https://docs.google.com/spreadsheets/d/1SX6NBoVAgQJ6U1MVXOaj8PK2l7WJ3RER9xtqwdhxkhw/edit?usp=sharing"",""นครปฐม!J502"")"),0)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IFERROR(__xludf.DUMMYFUNCTION("IMPORTRANGE(""https://docs.google.com/spreadsheets/d/1SX6NBoVAgQJ6U1MVXOaj8PK2l7WJ3RER9xtqwdhxkhw/edit?usp=sharing"",""นครปฐม!J503"")"),1)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IFERROR(__xludf.DUMMYFUNCTION("IMPORTRANGE(""https://docs.google.com/spreadsheets/d/1SX6NBoVAgQJ6U1MVXOaj8PK2l7WJ3RER9xtqwdhxkhw/edit?usp=sharing"",""นครปฐม!J166"")"),0)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IFERROR(__xludf.DUMMYFUNCTION("IMPORTRANGE(""https://docs.google.com/spreadsheets/d/1SX6NBoVAgQJ6U1MVXOaj8PK2l7WJ3RER9xtqwdhxkhw/edit?usp=sharing"",""นครปฐม!J166"")"),0)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IFERROR(__xludf.DUMMYFUNCTION("IMPORTRANGE(""https://docs.google.com/spreadsheets/d/1SX6NBoVAgQJ6U1MVXOaj8PK2l7WJ3RER9xtqwdhxkhw/edit?usp=sharing"",""นครปฐม!I506"")"),50)</f>
        <v>50</v>
      </c>
      <c r="J611" s="162">
        <f ca="1">IFERROR(__xludf.DUMMYFUNCTION("IMPORTRANGE(""https://docs.google.com/spreadsheets/d/1SX6NBoVAgQJ6U1MVXOaj8PK2l7WJ3RER9xtqwdhxkhw/edit?usp=sharing"",""นครปฐม!J506"")"),0)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IFERROR(__xludf.DUMMYFUNCTION("IMPORTRANGE(""https://docs.google.com/spreadsheets/d/1SX6NBoVAgQJ6U1MVXOaj8PK2l7WJ3RER9xtqwdhxkhw/edit?usp=sharing"",""นครปฐม!I507"")"),0)</f>
        <v>0</v>
      </c>
      <c r="J612" s="198">
        <f ca="1">IFERROR(__xludf.DUMMYFUNCTION("IMPORTRANGE(""https://docs.google.com/spreadsheets/d/1SX6NBoVAgQJ6U1MVXOaj8PK2l7WJ3RER9xtqwdhxkhw/edit?usp=sharing"",""นครปฐม!J507"")"),0)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IFERROR(__xludf.DUMMYFUNCTION("IMPORTRANGE(""https://docs.google.com/spreadsheets/d/1SX6NBoVAgQJ6U1MVXOaj8PK2l7WJ3RER9xtqwdhxkhw/edit?usp=sharing"",""นครปฐม!I508"")"),0)</f>
        <v>0</v>
      </c>
      <c r="J613" s="198">
        <f ca="1">IFERROR(__xludf.DUMMYFUNCTION("IMPORTRANGE(""https://docs.google.com/spreadsheets/d/1SX6NBoVAgQJ6U1MVXOaj8PK2l7WJ3RER9xtqwdhxkhw/edit?usp=sharing"",""นครปฐม!J508"")"),0)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IFERROR(__xludf.DUMMYFUNCTION("IMPORTRANGE(""https://docs.google.com/spreadsheets/d/1SX6NBoVAgQJ6U1MVXOaj8PK2l7WJ3RER9xtqwdhxkhw/edit?usp=sharing"",""นครปฐม!I509"")"),0)</f>
        <v>0</v>
      </c>
      <c r="J614" s="198">
        <f ca="1">IFERROR(__xludf.DUMMYFUNCTION("IMPORTRANGE(""https://docs.google.com/spreadsheets/d/1SX6NBoVAgQJ6U1MVXOaj8PK2l7WJ3RER9xtqwdhxkhw/edit?usp=sharing"",""นครปฐม!J509"")"),0)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IFERROR(__xludf.DUMMYFUNCTION("IMPORTRANGE(""https://docs.google.com/spreadsheets/d/1SX6NBoVAgQJ6U1MVXOaj8PK2l7WJ3RER9xtqwdhxkhw/edit?usp=sharing"",""นครปฐม!I510"")"),0)</f>
        <v>0</v>
      </c>
      <c r="J615" s="198">
        <f ca="1">IFERROR(__xludf.DUMMYFUNCTION("IMPORTRANGE(""https://docs.google.com/spreadsheets/d/1SX6NBoVAgQJ6U1MVXOaj8PK2l7WJ3RER9xtqwdhxkhw/edit?usp=sharing"",""นครปฐม!J510"")"),0)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IFERROR(__xludf.DUMMYFUNCTION("IMPORTRANGE(""https://docs.google.com/spreadsheets/d/1SX6NBoVAgQJ6U1MVXOaj8PK2l7WJ3RER9xtqwdhxkhw/edit?usp=sharing"",""นครปฐม!I511"")"),0)</f>
        <v>0</v>
      </c>
      <c r="J616" s="198">
        <f ca="1">IFERROR(__xludf.DUMMYFUNCTION("IMPORTRANGE(""https://docs.google.com/spreadsheets/d/1SX6NBoVAgQJ6U1MVXOaj8PK2l7WJ3RER9xtqwdhxkhw/edit?usp=sharing"",""นครปฐม!J511"")"),0)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IFERROR(__xludf.DUMMYFUNCTION("IMPORTRANGE(""https://docs.google.com/spreadsheets/d/1SX6NBoVAgQJ6U1MVXOaj8PK2l7WJ3RER9xtqwdhxkhw/edit?usp=sharing"",""นครปฐม!I512"")"),0)</f>
        <v>0</v>
      </c>
      <c r="J617" s="188">
        <f ca="1">IFERROR(__xludf.DUMMYFUNCTION("IMPORTRANGE(""https://docs.google.com/spreadsheets/d/1SX6NBoVAgQJ6U1MVXOaj8PK2l7WJ3RER9xtqwdhxkhw/edit?usp=sharing"",""นครปฐม!J512"")"),0)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IFERROR(__xludf.DUMMYFUNCTION("IMPORTRANGE(""https://docs.google.com/spreadsheets/d/1SX6NBoVAgQJ6U1MVXOaj8PK2l7WJ3RER9xtqwdhxkhw/edit?usp=sharing"",""นครปฐม!I513"")"),0)</f>
        <v>0</v>
      </c>
      <c r="J618" s="189">
        <f ca="1">IFERROR(__xludf.DUMMYFUNCTION("IMPORTRANGE(""https://docs.google.com/spreadsheets/d/1SX6NBoVAgQJ6U1MVXOaj8PK2l7WJ3RER9xtqwdhxkhw/edit?usp=sharing"",""นครปฐม!J513"")"),0)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IFERROR(__xludf.DUMMYFUNCTION("IMPORTRANGE(""https://docs.google.com/spreadsheets/d/1SX6NBoVAgQJ6U1MVXOaj8PK2l7WJ3RER9xtqwdhxkhw/edit?usp=sharing"",""นครปฐม!I514"")"),0)</f>
        <v>0</v>
      </c>
      <c r="J619" s="189">
        <f ca="1">IFERROR(__xludf.DUMMYFUNCTION("IMPORTRANGE(""https://docs.google.com/spreadsheets/d/1SX6NBoVAgQJ6U1MVXOaj8PK2l7WJ3RER9xtqwdhxkhw/edit?usp=sharing"",""นครปฐม!J514"")"),0)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IFERROR(__xludf.DUMMYFUNCTION("IMPORTRANGE(""https://docs.google.com/spreadsheets/d/1SX6NBoVAgQJ6U1MVXOaj8PK2l7WJ3RER9xtqwdhxkhw/edit?usp=sharing"",""นครปฐม!I515"")"),0)</f>
        <v>0</v>
      </c>
      <c r="J620" s="203">
        <f ca="1">IFERROR(__xludf.DUMMYFUNCTION("IMPORTRANGE(""https://docs.google.com/spreadsheets/d/1SX6NBoVAgQJ6U1MVXOaj8PK2l7WJ3RER9xtqwdhxkhw/edit?usp=sharing"",""นครปฐม!J515"")"),0)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IFERROR(__xludf.DUMMYFUNCTION("IMPORTRANGE(""https://docs.google.com/spreadsheets/d/1SX6NBoVAgQJ6U1MVXOaj8PK2l7WJ3RER9xtqwdhxkhw/edit?usp=sharing"",""นครปฐม!I516"")"),0)</f>
        <v>0</v>
      </c>
      <c r="J621" s="203">
        <f ca="1">IFERROR(__xludf.DUMMYFUNCTION("IMPORTRANGE(""https://docs.google.com/spreadsheets/d/1SX6NBoVAgQJ6U1MVXOaj8PK2l7WJ3RER9xtqwdhxkhw/edit?usp=sharing"",""นครปฐม!J516"")"),0)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IFERROR(__xludf.DUMMYFUNCTION("IMPORTRANGE(""https://docs.google.com/spreadsheets/d/1SX6NBoVAgQJ6U1MVXOaj8PK2l7WJ3RER9xtqwdhxkhw/edit?usp=sharing"",""นครปฐม!I517"")"),0)</f>
        <v>0</v>
      </c>
      <c r="J622" s="189">
        <f ca="1">IFERROR(__xludf.DUMMYFUNCTION("IMPORTRANGE(""https://docs.google.com/spreadsheets/d/1SX6NBoVAgQJ6U1MVXOaj8PK2l7WJ3RER9xtqwdhxkhw/edit?usp=sharing"",""นครปฐม!J517"")"),0)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IFERROR(__xludf.DUMMYFUNCTION("IMPORTRANGE(""https://docs.google.com/spreadsheets/d/1SX6NBoVAgQJ6U1MVXOaj8PK2l7WJ3RER9xtqwdhxkhw/edit?usp=sharing"",""นครปฐม!I518"")"),0)</f>
        <v>0</v>
      </c>
      <c r="J623" s="189">
        <f ca="1">IFERROR(__xludf.DUMMYFUNCTION("IMPORTRANGE(""https://docs.google.com/spreadsheets/d/1SX6NBoVAgQJ6U1MVXOaj8PK2l7WJ3RER9xtqwdhxkhw/edit?usp=sharing"",""นครปฐม!J518"")"),0)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IFERROR(__xludf.DUMMYFUNCTION("IMPORTRANGE(""https://docs.google.com/spreadsheets/d/1SX6NBoVAgQJ6U1MVXOaj8PK2l7WJ3RER9xtqwdhxkhw/edit?usp=sharing"",""นครปฐม!I519"")"),0)</f>
        <v>0</v>
      </c>
      <c r="J624" s="188">
        <f ca="1">IFERROR(__xludf.DUMMYFUNCTION("IMPORTRANGE(""https://docs.google.com/spreadsheets/d/1SX6NBoVAgQJ6U1MVXOaj8PK2l7WJ3RER9xtqwdhxkhw/edit?usp=sharing"",""นครปฐม!J519"")"),0)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IFERROR(__xludf.DUMMYFUNCTION("IMPORTRANGE(""https://docs.google.com/spreadsheets/d/1SX6NBoVAgQJ6U1MVXOaj8PK2l7WJ3RER9xtqwdhxkhw/edit?usp=sharing"",""นครปฐม!I520"")"),0)</f>
        <v>0</v>
      </c>
      <c r="J625" s="189">
        <f ca="1">IFERROR(__xludf.DUMMYFUNCTION("IMPORTRANGE(""https://docs.google.com/spreadsheets/d/1SX6NBoVAgQJ6U1MVXOaj8PK2l7WJ3RER9xtqwdhxkhw/edit?usp=sharing"",""นครปฐม!J520"")"),0)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IFERROR(__xludf.DUMMYFUNCTION("IMPORTRANGE(""https://docs.google.com/spreadsheets/d/1SX6NBoVAgQJ6U1MVXOaj8PK2l7WJ3RER9xtqwdhxkhw/edit?usp=sharing"",""นครปฐม!I521"")"),0)</f>
        <v>0</v>
      </c>
      <c r="J626" s="189">
        <f ca="1">IFERROR(__xludf.DUMMYFUNCTION("IMPORTRANGE(""https://docs.google.com/spreadsheets/d/1SX6NBoVAgQJ6U1MVXOaj8PK2l7WJ3RER9xtqwdhxkhw/edit?usp=sharing"",""นครปฐม!J521"")"),0)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IFERROR(__xludf.DUMMYFUNCTION("IMPORTRANGE(""https://docs.google.com/spreadsheets/d/1SX6NBoVAgQJ6U1MVXOaj8PK2l7WJ3RER9xtqwdhxkhw/edit?usp=sharing"",""นครปฐม!I523"")"),3160000)</f>
        <v>3160000</v>
      </c>
      <c r="J628" s="342">
        <f ca="1">IFERROR(__xludf.DUMMYFUNCTION("IMPORTRANGE(""https://docs.google.com/spreadsheets/d/1SX6NBoVAgQJ6U1MVXOaj8PK2l7WJ3RER9xtqwdhxkhw/edit?usp=sharing"",""นครปฐม!J523"")"),1198680.88)</f>
        <v>1198680.8799999999</v>
      </c>
      <c r="K628" s="343">
        <f t="shared" ref="K628:K635" ca="1" si="129">IF(I628&gt;0,J628*100/I628,0)</f>
        <v>37.932939240506322</v>
      </c>
      <c r="L628" s="343"/>
      <c r="M628" s="343"/>
      <c r="N628" s="343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IFERROR(__xludf.DUMMYFUNCTION("IMPORTRANGE(""https://docs.google.com/spreadsheets/d/1SX6NBoVAgQJ6U1MVXOaj8PK2l7WJ3RER9xtqwdhxkhw/edit?usp=sharing"",""นครปฐม!I524"")"),70)</f>
        <v>70</v>
      </c>
      <c r="J629" s="342">
        <f ca="1">IFERROR(__xludf.DUMMYFUNCTION("IMPORTRANGE(""https://docs.google.com/spreadsheets/d/1SX6NBoVAgQJ6U1MVXOaj8PK2l7WJ3RER9xtqwdhxkhw/edit?usp=sharing"",""นครปฐม!J524"")"),27)</f>
        <v>27</v>
      </c>
      <c r="K629" s="343">
        <f t="shared" ca="1" si="129"/>
        <v>38.571428571428569</v>
      </c>
      <c r="L629" s="343"/>
      <c r="M629" s="343"/>
      <c r="N629" s="343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2">
        <f ca="1">IFERROR(__xludf.DUMMYFUNCTION("IMPORTRANGE(""https://docs.google.com/spreadsheets/d/1SX6NBoVAgQJ6U1MVXOaj8PK2l7WJ3RER9xtqwdhxkhw/edit?usp=sharing"",""นครปฐม!J525"")"),529113.51)</f>
        <v>529113.51</v>
      </c>
      <c r="K630" s="343">
        <f t="shared" ca="1" si="129"/>
        <v>41.500909239664246</v>
      </c>
      <c r="L630" s="343"/>
      <c r="M630" s="343"/>
      <c r="N630" s="343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IFERROR(__xludf.DUMMYFUNCTION("IMPORTRANGE(""https://docs.google.com/spreadsheets/d/1SX6NBoVAgQJ6U1MVXOaj8PK2l7WJ3RER9xtqwdhxkhw/edit?usp=sharing"",""นครปฐม!I526"")"),31)</f>
        <v>31</v>
      </c>
      <c r="J631" s="342">
        <f ca="1">IFERROR(__xludf.DUMMYFUNCTION("IMPORTRANGE(""https://docs.google.com/spreadsheets/d/1SX6NBoVAgQJ6U1MVXOaj8PK2l7WJ3RER9xtqwdhxkhw/edit?usp=sharing"",""นครปฐม!J526"")"),30)</f>
        <v>30</v>
      </c>
      <c r="K631" s="343">
        <f t="shared" ca="1" si="129"/>
        <v>96.774193548387103</v>
      </c>
      <c r="L631" s="343"/>
      <c r="M631" s="343"/>
      <c r="N631" s="343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IFERROR(__xludf.DUMMYFUNCTION("IMPORTRANGE(""https://docs.google.com/spreadsheets/d/1SX6NBoVAgQJ6U1MVXOaj8PK2l7WJ3RER9xtqwdhxkhw/edit?usp=sharing"",""นครปฐม!I527"")"),527836.61)</f>
        <v>527836.61</v>
      </c>
      <c r="J632" s="342">
        <f ca="1">IFERROR(__xludf.DUMMYFUNCTION("IMPORTRANGE(""https://docs.google.com/spreadsheets/d/1SX6NBoVAgQJ6U1MVXOaj8PK2l7WJ3RER9xtqwdhxkhw/edit?usp=sharing"",""นครปฐม!J527"")"),328730.62)</f>
        <v>328730.62</v>
      </c>
      <c r="K632" s="343">
        <f t="shared" ca="1" si="129"/>
        <v>62.278859361422469</v>
      </c>
      <c r="L632" s="343"/>
      <c r="M632" s="343"/>
      <c r="N632" s="343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IFERROR(__xludf.DUMMYFUNCTION("IMPORTRANGE(""https://docs.google.com/spreadsheets/d/1SX6NBoVAgQJ6U1MVXOaj8PK2l7WJ3RER9xtqwdhxkhw/edit?usp=sharing"",""นครปฐม!I528"")"),262)</f>
        <v>262</v>
      </c>
      <c r="J633" s="342">
        <f ca="1">IFERROR(__xludf.DUMMYFUNCTION("IMPORTRANGE(""https://docs.google.com/spreadsheets/d/1SX6NBoVAgQJ6U1MVXOaj8PK2l7WJ3RER9xtqwdhxkhw/edit?usp=sharing"",""นครปฐม!J528"")"),186)</f>
        <v>186</v>
      </c>
      <c r="K633" s="343">
        <f t="shared" ca="1" si="129"/>
        <v>70.992366412213741</v>
      </c>
      <c r="L633" s="343"/>
      <c r="M633" s="343"/>
      <c r="N633" s="343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IFERROR(__xludf.DUMMYFUNCTION("IMPORTRANGE(""https://docs.google.com/spreadsheets/d/1SX6NBoVAgQJ6U1MVXOaj8PK2l7WJ3RER9xtqwdhxkhw/edit?usp=sharing"",""นครปฐม!I529"")"),4410000)</f>
        <v>4410000</v>
      </c>
      <c r="J634" s="342">
        <f ca="1">IFERROR(__xludf.DUMMYFUNCTION("IMPORTRANGE(""https://docs.google.com/spreadsheets/d/1SX6NBoVAgQJ6U1MVXOaj8PK2l7WJ3RER9xtqwdhxkhw/edit?usp=sharing"",""นครปฐม!J529"")"),1040000)</f>
        <v>1040000</v>
      </c>
      <c r="K634" s="343">
        <f t="shared" ca="1" si="129"/>
        <v>23.582766439909296</v>
      </c>
      <c r="L634" s="343"/>
      <c r="M634" s="343"/>
      <c r="N634" s="343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IFERROR(__xludf.DUMMYFUNCTION("IMPORTRANGE(""https://docs.google.com/spreadsheets/d/1SX6NBoVAgQJ6U1MVXOaj8PK2l7WJ3RER9xtqwdhxkhw/edit?usp=sharing"",""นครปฐม!I530"")"),94)</f>
        <v>94</v>
      </c>
      <c r="J635" s="504">
        <f ca="1">IFERROR(__xludf.DUMMYFUNCTION("IMPORTRANGE(""https://docs.google.com/spreadsheets/d/1SX6NBoVAgQJ6U1MVXOaj8PK2l7WJ3RER9xtqwdhxkhw/edit?usp=sharing"",""นครปฐม!J530"")"),22)</f>
        <v>22</v>
      </c>
      <c r="K635" s="486">
        <f t="shared" ca="1" si="129"/>
        <v>23.404255319148938</v>
      </c>
      <c r="L635" s="486"/>
      <c r="M635" s="486"/>
      <c r="N635" s="486"/>
      <c r="O635" s="505"/>
      <c r="P635" s="505"/>
    </row>
    <row r="636" spans="1:16" ht="21.75" customHeight="1" x14ac:dyDescent="0.45">
      <c r="A636" s="506"/>
      <c r="B636" s="589" t="s">
        <v>237</v>
      </c>
      <c r="C636" s="590"/>
      <c r="D636" s="590"/>
      <c r="E636" s="590"/>
      <c r="F636" s="590"/>
      <c r="G636" s="591"/>
      <c r="H636" s="507"/>
      <c r="I636" s="508"/>
      <c r="J636" s="508"/>
      <c r="K636" s="509"/>
      <c r="L636" s="510">
        <f ca="1">SUM(L637,L638)</f>
        <v>3880</v>
      </c>
      <c r="M636" s="511"/>
      <c r="N636" s="510">
        <f ca="1">SUM(N637:N638)</f>
        <v>740</v>
      </c>
      <c r="O636" s="510">
        <f t="shared" ref="O636:O640" ca="1" si="130">+IF(L636&gt;0,N636*100/L636,0)</f>
        <v>19.072164948453608</v>
      </c>
      <c r="P636" s="510"/>
    </row>
    <row r="637" spans="1:16" ht="21.75" customHeight="1" x14ac:dyDescent="0.45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45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3880</v>
      </c>
      <c r="M638" s="521"/>
      <c r="N638" s="522">
        <f ca="1">SUM(N639:N640)</f>
        <v>740</v>
      </c>
      <c r="O638" s="522">
        <f t="shared" ca="1" si="130"/>
        <v>19.072164948453608</v>
      </c>
      <c r="P638" s="522"/>
    </row>
    <row r="639" spans="1:16" ht="21.75" customHeight="1" x14ac:dyDescent="0.45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45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3880</v>
      </c>
      <c r="M640" s="521"/>
      <c r="N640" s="522">
        <f ca="1">SUM(N641:N644)</f>
        <v>740</v>
      </c>
      <c r="O640" s="522">
        <f t="shared" ca="1" si="130"/>
        <v>19.072164948453608</v>
      </c>
      <c r="P640" s="522"/>
    </row>
    <row r="641" spans="1:16" ht="21.75" customHeight="1" x14ac:dyDescent="0.45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45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45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45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740</v>
      </c>
      <c r="O644" s="524"/>
      <c r="P644" s="524"/>
    </row>
    <row r="645" spans="1:16" ht="21.75" customHeight="1" x14ac:dyDescent="0.45">
      <c r="A645" s="526"/>
      <c r="B645" s="527"/>
      <c r="C645" s="514" t="s">
        <v>16</v>
      </c>
      <c r="D645" s="593" t="s">
        <v>242</v>
      </c>
      <c r="E645" s="564"/>
      <c r="F645" s="564"/>
      <c r="G645" s="588"/>
      <c r="H645" s="52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45">
      <c r="A646" s="526"/>
      <c r="B646" s="527"/>
      <c r="C646" s="527"/>
      <c r="D646" s="529">
        <v>1</v>
      </c>
      <c r="E646" s="594" t="s">
        <v>44</v>
      </c>
      <c r="F646" s="564"/>
      <c r="G646" s="588"/>
      <c r="H646" s="530"/>
      <c r="I646" s="531"/>
      <c r="J646" s="532">
        <f ca="1">IFERROR(__xludf.DUMMYFUNCTION("IMPORTRANGE(""https://docs.google.com/spreadsheets/d/1SX6NBoVAgQJ6U1MVXOaj8PK2l7WJ3RER9xtqwdhxkhw/edit#gid=346597447"",""นครปฐม!J541"")"),0)</f>
        <v>0</v>
      </c>
      <c r="K646" s="519"/>
      <c r="L646" s="521"/>
      <c r="M646" s="521"/>
      <c r="N646" s="533"/>
      <c r="O646" s="519"/>
      <c r="P646" s="519"/>
    </row>
    <row r="647" spans="1:16" ht="21.75" customHeight="1" x14ac:dyDescent="0.45">
      <c r="A647" s="526"/>
      <c r="B647" s="527"/>
      <c r="C647" s="527"/>
      <c r="D647" s="534">
        <v>2</v>
      </c>
      <c r="E647" s="595" t="s">
        <v>243</v>
      </c>
      <c r="F647" s="564"/>
      <c r="G647" s="588"/>
      <c r="H647" s="530"/>
      <c r="I647" s="531"/>
      <c r="J647" s="532">
        <f ca="1">IFERROR(__xludf.DUMMYFUNCTION("IMPORTRANGE(""https://docs.google.com/spreadsheets/d/1SX6NBoVAgQJ6U1MVXOaj8PK2l7WJ3RER9xtqwdhxkhw/edit#gid=346597447"",""นครปฐม!J542"")"),0)</f>
        <v>0</v>
      </c>
      <c r="K647" s="519"/>
      <c r="L647" s="521"/>
      <c r="M647" s="521"/>
      <c r="N647" s="521"/>
      <c r="O647" s="519"/>
      <c r="P647" s="519"/>
    </row>
    <row r="648" spans="1:16" ht="21.75" customHeight="1" x14ac:dyDescent="0.45">
      <c r="A648" s="512"/>
      <c r="B648" s="513"/>
      <c r="C648" s="513"/>
      <c r="D648" s="513"/>
      <c r="E648" s="513"/>
      <c r="F648" s="587" t="s">
        <v>244</v>
      </c>
      <c r="G648" s="588"/>
      <c r="H648" s="516" t="s">
        <v>122</v>
      </c>
      <c r="I648" s="535">
        <f ca="1">IFERROR(__xludf.DUMMYFUNCTION("IMPORTRANGE(""https://docs.google.com/spreadsheets/d/1SX6NBoVAgQJ6U1MVXOaj8PK2l7WJ3RER9xtqwdhxkhw/edit#gid=346597447"",""นครปฐม!I543"")"),0)</f>
        <v>0</v>
      </c>
      <c r="J648" s="536">
        <f ca="1">IFERROR(__xludf.DUMMYFUNCTION("IMPORTRANGE(""https://docs.google.com/spreadsheets/d/1SX6NBoVAgQJ6U1MVXOaj8PK2l7WJ3RER9xtqwdhxkhw/edit#gid=346597447"",""นครปฐม!J543"")"),0)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IFERROR(__xludf.DUMMYFUNCTION("IMPORTRANGE(""https://docs.google.com/spreadsheets/d/1SX6NBoVAgQJ6U1MVXOaj8PK2l7WJ3RER9xtqwdhxkhw/edit#gid=346597447"",""นครปฐม!L543"")"),0)</f>
        <v>0</v>
      </c>
      <c r="M648" s="521"/>
      <c r="N648" s="538">
        <f ca="1">IFERROR(__xludf.DUMMYFUNCTION("IMPORTRANGE(""https://docs.google.com/spreadsheets/d/1SX6NBoVAgQJ6U1MVXOaj8PK2l7WJ3RER9xtqwdhxkhw/edit#gid=346597447"",""นครปฐม!M543"")"),0)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45">
      <c r="A649" s="512"/>
      <c r="B649" s="513"/>
      <c r="C649" s="513"/>
      <c r="D649" s="513"/>
      <c r="E649" s="513"/>
      <c r="F649" s="587" t="s">
        <v>245</v>
      </c>
      <c r="G649" s="588"/>
      <c r="H649" s="516" t="s">
        <v>37</v>
      </c>
      <c r="I649" s="535">
        <f ca="1">IFERROR(__xludf.DUMMYFUNCTION("IMPORTRANGE(""https://docs.google.com/spreadsheets/d/1SX6NBoVAgQJ6U1MVXOaj8PK2l7WJ3RER9xtqwdhxkhw/edit#gid=346597447"",""นครปฐม!I544"")"),0)</f>
        <v>0</v>
      </c>
      <c r="J649" s="536">
        <f ca="1">IFERROR(__xludf.DUMMYFUNCTION("IMPORTRANGE(""https://docs.google.com/spreadsheets/d/1SX6NBoVAgQJ6U1MVXOaj8PK2l7WJ3RER9xtqwdhxkhw/edit#gid=346597447"",""นครปฐม!J544"")"),1)</f>
        <v>1</v>
      </c>
      <c r="K649" s="537">
        <f t="shared" ca="1" si="131"/>
        <v>0</v>
      </c>
      <c r="L649" s="522">
        <f ca="1">IFERROR(__xludf.DUMMYFUNCTION("IMPORTRANGE(""https://docs.google.com/spreadsheets/d/1SX6NBoVAgQJ6U1MVXOaj8PK2l7WJ3RER9xtqwdhxkhw/edit#gid=346597447"",""นครปฐม!L544"")"),0)</f>
        <v>0</v>
      </c>
      <c r="M649" s="521"/>
      <c r="N649" s="538">
        <f ca="1">IFERROR(__xludf.DUMMYFUNCTION("IMPORTRANGE(""https://docs.google.com/spreadsheets/d/1SX6NBoVAgQJ6U1MVXOaj8PK2l7WJ3RER9xtqwdhxkhw/edit#gid=346597447"",""นครปฐม!M544"")"),0)</f>
        <v>0</v>
      </c>
      <c r="O649" s="537">
        <f t="shared" ca="1" si="132"/>
        <v>0</v>
      </c>
      <c r="P649" s="537"/>
    </row>
    <row r="650" spans="1:16" ht="21.75" customHeight="1" x14ac:dyDescent="0.45">
      <c r="A650" s="512"/>
      <c r="B650" s="513"/>
      <c r="C650" s="513"/>
      <c r="D650" s="513"/>
      <c r="E650" s="513"/>
      <c r="F650" s="587" t="s">
        <v>246</v>
      </c>
      <c r="G650" s="588"/>
      <c r="H650" s="516" t="s">
        <v>122</v>
      </c>
      <c r="I650" s="535">
        <f ca="1">IFERROR(__xludf.DUMMYFUNCTION("IMPORTRANGE(""https://docs.google.com/spreadsheets/d/1SX6NBoVAgQJ6U1MVXOaj8PK2l7WJ3RER9xtqwdhxkhw/edit#gid=346597447"",""นครปฐม!I545"")"),0)</f>
        <v>0</v>
      </c>
      <c r="J650" s="536">
        <f ca="1">IFERROR(__xludf.DUMMYFUNCTION("IMPORTRANGE(""https://docs.google.com/spreadsheets/d/1SX6NBoVAgQJ6U1MVXOaj8PK2l7WJ3RER9xtqwdhxkhw/edit#gid=346597447"",""นครปฐม!J545"")"),0)</f>
        <v>0</v>
      </c>
      <c r="K650" s="537">
        <f t="shared" ca="1" si="131"/>
        <v>0</v>
      </c>
      <c r="L650" s="522">
        <f ca="1">IFERROR(__xludf.DUMMYFUNCTION("IMPORTRANGE(""https://docs.google.com/spreadsheets/d/1SX6NBoVAgQJ6U1MVXOaj8PK2l7WJ3RER9xtqwdhxkhw/edit#gid=346597447"",""นครปฐม!L545"")"),0)</f>
        <v>0</v>
      </c>
      <c r="M650" s="521"/>
      <c r="N650" s="538">
        <f ca="1">IFERROR(__xludf.DUMMYFUNCTION("IMPORTRANGE(""https://docs.google.com/spreadsheets/d/1SX6NBoVAgQJ6U1MVXOaj8PK2l7WJ3RER9xtqwdhxkhw/edit#gid=346597447"",""นครปฐม!M545"")"),0)</f>
        <v>0</v>
      </c>
      <c r="O650" s="537">
        <f t="shared" ca="1" si="132"/>
        <v>0</v>
      </c>
      <c r="P650" s="537"/>
    </row>
    <row r="651" spans="1:16" ht="21.75" customHeight="1" x14ac:dyDescent="0.45">
      <c r="A651" s="512"/>
      <c r="B651" s="513"/>
      <c r="C651" s="513"/>
      <c r="D651" s="513"/>
      <c r="E651" s="513"/>
      <c r="F651" s="587" t="s">
        <v>247</v>
      </c>
      <c r="G651" s="588"/>
      <c r="H651" s="516" t="s">
        <v>122</v>
      </c>
      <c r="I651" s="535">
        <f ca="1">IFERROR(__xludf.DUMMYFUNCTION("IMPORTRANGE(""https://docs.google.com/spreadsheets/d/1SX6NBoVAgQJ6U1MVXOaj8PK2l7WJ3RER9xtqwdhxkhw/edit#gid=346597447"",""นครปฐม!I546"")"),0)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IFERROR(__xludf.DUMMYFUNCTION("IMPORTRANGE(""https://docs.google.com/spreadsheets/d/1SX6NBoVAgQJ6U1MVXOaj8PK2l7WJ3RER9xtqwdhxkhw/edit#gid=346597447"",""นครปฐม!L546"")"),0)</f>
        <v>0</v>
      </c>
      <c r="M651" s="521"/>
      <c r="N651" s="538">
        <f ca="1">IFERROR(__xludf.DUMMYFUNCTION("IMPORTRANGE(""https://docs.google.com/spreadsheets/d/1SX6NBoVAgQJ6U1MVXOaj8PK2l7WJ3RER9xtqwdhxkhw/edit#gid=346597447"",""นครปฐม!M546"")"),0)</f>
        <v>0</v>
      </c>
      <c r="O651" s="537">
        <f t="shared" ca="1" si="132"/>
        <v>0</v>
      </c>
      <c r="P651" s="537"/>
    </row>
    <row r="652" spans="1:16" ht="21.75" customHeight="1" x14ac:dyDescent="0.45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IFERROR(__xludf.DUMMYFUNCTION("IMPORTRANGE(""https://docs.google.com/spreadsheets/d/1SX6NBoVAgQJ6U1MVXOaj8PK2l7WJ3RER9xtqwdhxkhw/edit#gid=346597447"",""นครปฐม!J547"")"),0)</f>
        <v>0</v>
      </c>
      <c r="K652" s="537"/>
      <c r="L652" s="521"/>
      <c r="M652" s="521"/>
      <c r="N652" s="521"/>
      <c r="O652" s="519"/>
      <c r="P652" s="519"/>
    </row>
    <row r="653" spans="1:16" ht="21.75" customHeight="1" x14ac:dyDescent="0.45">
      <c r="A653" s="512"/>
      <c r="B653" s="513"/>
      <c r="C653" s="513"/>
      <c r="D653" s="513"/>
      <c r="E653" s="513"/>
      <c r="F653" s="513"/>
      <c r="G653" s="530"/>
      <c r="H653" s="516" t="s">
        <v>122</v>
      </c>
      <c r="I653" s="539"/>
      <c r="J653" s="532">
        <f ca="1">IFERROR(__xludf.DUMMYFUNCTION("IMPORTRANGE(""https://docs.google.com/spreadsheets/d/1SX6NBoVAgQJ6U1MVXOaj8PK2l7WJ3RER9xtqwdhxkhw/edit#gid=346597447"",""นครปฐม!J548"")"),0)</f>
        <v>0</v>
      </c>
      <c r="K653" s="537"/>
      <c r="L653" s="521"/>
      <c r="M653" s="521"/>
      <c r="N653" s="521"/>
      <c r="O653" s="519"/>
      <c r="P653" s="519"/>
    </row>
    <row r="654" spans="1:16" ht="21.75" customHeight="1" x14ac:dyDescent="0.45">
      <c r="A654" s="512"/>
      <c r="B654" s="513"/>
      <c r="C654" s="513"/>
      <c r="D654" s="513"/>
      <c r="E654" s="513"/>
      <c r="F654" s="513"/>
      <c r="G654" s="515" t="s">
        <v>249</v>
      </c>
      <c r="H654" s="528"/>
      <c r="I654" s="539"/>
      <c r="J654" s="540"/>
      <c r="K654" s="537"/>
      <c r="L654" s="521"/>
      <c r="M654" s="521"/>
      <c r="N654" s="521"/>
      <c r="O654" s="519"/>
      <c r="P654" s="519"/>
    </row>
    <row r="655" spans="1:16" ht="21.75" customHeight="1" x14ac:dyDescent="0.45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IFERROR(__xludf.DUMMYFUNCTION("IMPORTRANGE(""https://docs.google.com/spreadsheets/d/1SX6NBoVAgQJ6U1MVXOaj8PK2l7WJ3RER9xtqwdhxkhw/edit#gid=346597447"",""นครปฐม!J550"")"),0)</f>
        <v>0</v>
      </c>
      <c r="K655" s="537"/>
      <c r="L655" s="521"/>
      <c r="M655" s="521"/>
      <c r="N655" s="521"/>
      <c r="O655" s="519"/>
      <c r="P655" s="519"/>
    </row>
    <row r="656" spans="1:16" ht="21.75" customHeight="1" x14ac:dyDescent="0.45">
      <c r="A656" s="512"/>
      <c r="B656" s="513"/>
      <c r="C656" s="513"/>
      <c r="D656" s="513"/>
      <c r="E656" s="513"/>
      <c r="F656" s="513"/>
      <c r="G656" s="530"/>
      <c r="H656" s="516" t="s">
        <v>36</v>
      </c>
      <c r="I656" s="539"/>
      <c r="J656" s="532">
        <f ca="1">IFERROR(__xludf.DUMMYFUNCTION("IMPORTRANGE(""https://docs.google.com/spreadsheets/d/1SX6NBoVAgQJ6U1MVXOaj8PK2l7WJ3RER9xtqwdhxkhw/edit#gid=346597447"",""นครปฐม!J551"")"),0)</f>
        <v>0</v>
      </c>
      <c r="K656" s="537"/>
      <c r="L656" s="521"/>
      <c r="M656" s="521"/>
      <c r="N656" s="521"/>
      <c r="O656" s="519"/>
      <c r="P656" s="519"/>
    </row>
    <row r="657" spans="1:16" ht="21.75" customHeight="1" x14ac:dyDescent="0.45">
      <c r="A657" s="512"/>
      <c r="B657" s="513"/>
      <c r="C657" s="513"/>
      <c r="D657" s="513"/>
      <c r="E657" s="513"/>
      <c r="F657" s="513"/>
      <c r="G657" s="530"/>
      <c r="H657" s="516" t="s">
        <v>122</v>
      </c>
      <c r="I657" s="539"/>
      <c r="J657" s="532">
        <f ca="1">IFERROR(__xludf.DUMMYFUNCTION("IMPORTRANGE(""https://docs.google.com/spreadsheets/d/1SX6NBoVAgQJ6U1MVXOaj8PK2l7WJ3RER9xtqwdhxkhw/edit#gid=346597447"",""นครปฐม!J552"")"),0)</f>
        <v>0</v>
      </c>
      <c r="K657" s="537"/>
      <c r="L657" s="521"/>
      <c r="M657" s="521"/>
      <c r="N657" s="521"/>
      <c r="O657" s="519"/>
      <c r="P657" s="519"/>
    </row>
    <row r="658" spans="1:16" ht="21.75" customHeight="1" x14ac:dyDescent="0.45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IFERROR(__xludf.DUMMYFUNCTION("IMPORTRANGE(""https://docs.google.com/spreadsheets/d/1SX6NBoVAgQJ6U1MVXOaj8PK2l7WJ3RER9xtqwdhxkhw/edit#gid=346597447"",""นครปฐม!J553"")"),0)</f>
        <v>0</v>
      </c>
      <c r="K658" s="537"/>
      <c r="L658" s="521"/>
      <c r="M658" s="521"/>
      <c r="N658" s="521"/>
      <c r="O658" s="519"/>
      <c r="P658" s="519"/>
    </row>
    <row r="659" spans="1:16" ht="21.75" customHeight="1" x14ac:dyDescent="0.45">
      <c r="A659" s="512"/>
      <c r="B659" s="513"/>
      <c r="C659" s="513"/>
      <c r="D659" s="513"/>
      <c r="E659" s="513"/>
      <c r="F659" s="513"/>
      <c r="G659" s="530"/>
      <c r="H659" s="516" t="s">
        <v>36</v>
      </c>
      <c r="I659" s="539"/>
      <c r="J659" s="532">
        <f ca="1">IFERROR(__xludf.DUMMYFUNCTION("IMPORTRANGE(""https://docs.google.com/spreadsheets/d/1SX6NBoVAgQJ6U1MVXOaj8PK2l7WJ3RER9xtqwdhxkhw/edit#gid=346597447"",""นครปฐม!J554"")"),0)</f>
        <v>0</v>
      </c>
      <c r="K659" s="537"/>
      <c r="L659" s="521"/>
      <c r="M659" s="521"/>
      <c r="N659" s="521"/>
      <c r="O659" s="519"/>
      <c r="P659" s="519"/>
    </row>
    <row r="660" spans="1:16" ht="21.75" customHeight="1" x14ac:dyDescent="0.45">
      <c r="A660" s="512"/>
      <c r="B660" s="513"/>
      <c r="C660" s="513"/>
      <c r="D660" s="513"/>
      <c r="E660" s="513"/>
      <c r="F660" s="513"/>
      <c r="G660" s="530"/>
      <c r="H660" s="516" t="s">
        <v>122</v>
      </c>
      <c r="I660" s="539"/>
      <c r="J660" s="532">
        <f ca="1">IFERROR(__xludf.DUMMYFUNCTION("IMPORTRANGE(""https://docs.google.com/spreadsheets/d/1SX6NBoVAgQJ6U1MVXOaj8PK2l7WJ3RER9xtqwdhxkhw/edit#gid=346597447"",""นครปฐม!J555"")"),0)</f>
        <v>0</v>
      </c>
      <c r="K660" s="537"/>
      <c r="L660" s="521"/>
      <c r="M660" s="521"/>
      <c r="N660" s="521"/>
      <c r="O660" s="519"/>
      <c r="P660" s="519"/>
    </row>
    <row r="661" spans="1:16" ht="21.75" customHeight="1" x14ac:dyDescent="0.45">
      <c r="A661" s="512"/>
      <c r="B661" s="513"/>
      <c r="C661" s="513"/>
      <c r="D661" s="513"/>
      <c r="E661" s="513"/>
      <c r="F661" s="587" t="s">
        <v>252</v>
      </c>
      <c r="G661" s="588"/>
      <c r="H661" s="516" t="s">
        <v>37</v>
      </c>
      <c r="I661" s="539"/>
      <c r="J661" s="536">
        <f ca="1">IFERROR(__xludf.DUMMYFUNCTION("IMPORTRANGE(""https://docs.google.com/spreadsheets/d/1SX6NBoVAgQJ6U1MVXOaj8PK2l7WJ3RER9xtqwdhxkhw/edit#gid=346597447"",""นครปฐม!J556"")"),0)</f>
        <v>0</v>
      </c>
      <c r="K661" s="537"/>
      <c r="L661" s="522">
        <f ca="1">IFERROR(__xludf.DUMMYFUNCTION("IMPORTRANGE(""https://docs.google.com/spreadsheets/d/1SX6NBoVAgQJ6U1MVXOaj8PK2l7WJ3RER9xtqwdhxkhw/edit#gid=346597447"",""นครปฐม!L556"")"),2040)</f>
        <v>2040</v>
      </c>
      <c r="M661" s="521"/>
      <c r="N661" s="538">
        <f ca="1">IFERROR(__xludf.DUMMYFUNCTION("IMPORTRANGE(""https://docs.google.com/spreadsheets/d/1SX6NBoVAgQJ6U1MVXOaj8PK2l7WJ3RER9xtqwdhxkhw/edit#gid=346597447"",""นครปฐม!M556"")"),0)</f>
        <v>0</v>
      </c>
      <c r="O661" s="537">
        <f ca="1">IF(L661&gt;0,N661*100/L661,0)</f>
        <v>0</v>
      </c>
      <c r="P661" s="537"/>
    </row>
    <row r="662" spans="1:16" ht="21.75" customHeight="1" x14ac:dyDescent="0.45">
      <c r="A662" s="512"/>
      <c r="B662" s="513"/>
      <c r="C662" s="513"/>
      <c r="D662" s="513"/>
      <c r="E662" s="513"/>
      <c r="F662" s="513"/>
      <c r="G662" s="530"/>
      <c r="H662" s="516" t="s">
        <v>36</v>
      </c>
      <c r="I662" s="539"/>
      <c r="J662" s="536">
        <f ca="1">IFERROR(__xludf.DUMMYFUNCTION("IMPORTRANGE(""https://docs.google.com/spreadsheets/d/1SX6NBoVAgQJ6U1MVXOaj8PK2l7WJ3RER9xtqwdhxkhw/edit#gid=346597447"",""นครปฐม!J557"")"),0)</f>
        <v>0</v>
      </c>
      <c r="K662" s="537"/>
      <c r="L662" s="521"/>
      <c r="M662" s="521"/>
      <c r="N662" s="521"/>
      <c r="O662" s="519"/>
      <c r="P662" s="519"/>
    </row>
    <row r="663" spans="1:16" ht="21.75" customHeight="1" x14ac:dyDescent="0.45">
      <c r="A663" s="512"/>
      <c r="B663" s="513"/>
      <c r="C663" s="513"/>
      <c r="D663" s="513"/>
      <c r="E663" s="513"/>
      <c r="F663" s="513"/>
      <c r="G663" s="530"/>
      <c r="H663" s="516" t="s">
        <v>122</v>
      </c>
      <c r="I663" s="535">
        <f ca="1">IFERROR(__xludf.DUMMYFUNCTION("IMPORTRANGE(""https://docs.google.com/spreadsheets/d/1SX6NBoVAgQJ6U1MVXOaj8PK2l7WJ3RER9xtqwdhxkhw/edit#gid=346597447"",""นครปฐม!I558"")"),51)</f>
        <v>51</v>
      </c>
      <c r="J663" s="536">
        <f ca="1">IFERROR(__xludf.DUMMYFUNCTION("IMPORTRANGE(""https://docs.google.com/spreadsheets/d/1SX6NBoVAgQJ6U1MVXOaj8PK2l7WJ3RER9xtqwdhxkhw/edit#gid=346597447"",""นครปฐม!J558"")"),0)</f>
        <v>0</v>
      </c>
      <c r="K663" s="537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45">
      <c r="A664" s="512"/>
      <c r="B664" s="513"/>
      <c r="C664" s="513"/>
      <c r="D664" s="513"/>
      <c r="E664" s="513"/>
      <c r="F664" s="587" t="s">
        <v>253</v>
      </c>
      <c r="G664" s="588"/>
      <c r="H664" s="528"/>
      <c r="I664" s="539"/>
      <c r="J664" s="540"/>
      <c r="K664" s="537"/>
      <c r="L664" s="521"/>
      <c r="M664" s="521"/>
      <c r="N664" s="533"/>
      <c r="O664" s="519"/>
      <c r="P664" s="519"/>
    </row>
    <row r="665" spans="1:16" ht="21.75" customHeight="1" x14ac:dyDescent="0.45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IFERROR(__xludf.DUMMYFUNCTION("IMPORTRANGE(""https://docs.google.com/spreadsheets/d/1SX6NBoVAgQJ6U1MVXOaj8PK2l7WJ3RER9xtqwdhxkhw/edit#gid=346597447"",""นครปฐม!I560"")"),1)</f>
        <v>1</v>
      </c>
      <c r="J665" s="536">
        <f ca="1">IFERROR(__xludf.DUMMYFUNCTION("IMPORTRANGE(""https://docs.google.com/spreadsheets/d/1SX6NBoVAgQJ6U1MVXOaj8PK2l7WJ3RER9xtqwdhxkhw/edit#gid=346597447"",""นครปฐม!J560"")"),2)</f>
        <v>2</v>
      </c>
      <c r="K665" s="537">
        <f ca="1">IF(I665&gt;0,J665*100/I665,0)</f>
        <v>200</v>
      </c>
      <c r="L665" s="522">
        <f ca="1">IFERROR(__xludf.DUMMYFUNCTION("IMPORTRANGE(""https://docs.google.com/spreadsheets/d/1SX6NBoVAgQJ6U1MVXOaj8PK2l7WJ3RER9xtqwdhxkhw/edit#gid=346597447"",""นครปฐม!L560"")"),120)</f>
        <v>120</v>
      </c>
      <c r="M665" s="521"/>
      <c r="N665" s="538">
        <f ca="1">IFERROR(__xludf.DUMMYFUNCTION("IMPORTRANGE(""https://docs.google.com/spreadsheets/d/1SX6NBoVAgQJ6U1MVXOaj8PK2l7WJ3RER9xtqwdhxkhw/edit#gid=346597447"",""นครปฐม!M560"")"),0)</f>
        <v>0</v>
      </c>
      <c r="O665" s="537">
        <f ca="1">IF(L665&gt;0,N665*100/L665,0)</f>
        <v>0</v>
      </c>
      <c r="P665" s="537"/>
    </row>
    <row r="666" spans="1:16" ht="21.75" customHeight="1" x14ac:dyDescent="0.45">
      <c r="A666" s="512"/>
      <c r="B666" s="513"/>
      <c r="C666" s="513"/>
      <c r="D666" s="513"/>
      <c r="E666" s="513"/>
      <c r="F666" s="513"/>
      <c r="G666" s="530"/>
      <c r="H666" s="516" t="s">
        <v>36</v>
      </c>
      <c r="I666" s="539"/>
      <c r="J666" s="536">
        <f ca="1">IFERROR(__xludf.DUMMYFUNCTION("IMPORTRANGE(""https://docs.google.com/spreadsheets/d/1SX6NBoVAgQJ6U1MVXOaj8PK2l7WJ3RER9xtqwdhxkhw/edit#gid=346597447"",""นครปฐม!J561"")"),2)</f>
        <v>2</v>
      </c>
      <c r="K666" s="537"/>
      <c r="L666" s="521"/>
      <c r="M666" s="521"/>
      <c r="N666" s="521"/>
      <c r="O666" s="519"/>
      <c r="P666" s="519"/>
    </row>
    <row r="667" spans="1:16" ht="21.75" customHeight="1" x14ac:dyDescent="0.45">
      <c r="A667" s="512"/>
      <c r="B667" s="513"/>
      <c r="C667" s="513"/>
      <c r="D667" s="513"/>
      <c r="E667" s="513"/>
      <c r="F667" s="513"/>
      <c r="G667" s="530"/>
      <c r="H667" s="516" t="s">
        <v>122</v>
      </c>
      <c r="I667" s="539"/>
      <c r="J667" s="536">
        <f ca="1">IFERROR(__xludf.DUMMYFUNCTION("IMPORTRANGE(""https://docs.google.com/spreadsheets/d/1SX6NBoVAgQJ6U1MVXOaj8PK2l7WJ3RER9xtqwdhxkhw/edit#gid=346597447"",""นครปฐม!J562"")"),14.13)</f>
        <v>14.13</v>
      </c>
      <c r="K667" s="537"/>
      <c r="L667" s="521"/>
      <c r="M667" s="521"/>
      <c r="N667" s="521"/>
      <c r="O667" s="519"/>
      <c r="P667" s="519"/>
    </row>
    <row r="668" spans="1:16" ht="21.75" customHeight="1" x14ac:dyDescent="0.45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IFERROR(__xludf.DUMMYFUNCTION("IMPORTRANGE(""https://docs.google.com/spreadsheets/d/1SX6NBoVAgQJ6U1MVXOaj8PK2l7WJ3RER9xtqwdhxkhw/edit#gid=346597447"",""นครปฐม!I563"")"),1)</f>
        <v>1</v>
      </c>
      <c r="J668" s="536">
        <f ca="1">IFERROR(__xludf.DUMMYFUNCTION("IMPORTRANGE(""https://docs.google.com/spreadsheets/d/1SX6NBoVAgQJ6U1MVXOaj8PK2l7WJ3RER9xtqwdhxkhw/edit#gid=346597447"",""นครปฐม!J563"")"),4)</f>
        <v>4</v>
      </c>
      <c r="K668" s="537">
        <f ca="1">IF(I668&gt;0,J668*100/I668,0)</f>
        <v>400</v>
      </c>
      <c r="L668" s="522">
        <f ca="1">IFERROR(__xludf.DUMMYFUNCTION("IMPORTRANGE(""https://docs.google.com/spreadsheets/d/1SX6NBoVAgQJ6U1MVXOaj8PK2l7WJ3RER9xtqwdhxkhw/edit#gid=346597447"",""นครปฐม!L563"")"),1720)</f>
        <v>1720</v>
      </c>
      <c r="M668" s="521"/>
      <c r="N668" s="538">
        <f ca="1">IFERROR(__xludf.DUMMYFUNCTION("IMPORTRANGE(""https://docs.google.com/spreadsheets/d/1SX6NBoVAgQJ6U1MVXOaj8PK2l7WJ3RER9xtqwdhxkhw/edit#gid=346597447"",""นครปฐม!M563"")"),740)</f>
        <v>740</v>
      </c>
      <c r="O668" s="537">
        <f ca="1">IF(L668&gt;0,N668*100/L668,0)</f>
        <v>43.02325581395349</v>
      </c>
      <c r="P668" s="537"/>
    </row>
    <row r="669" spans="1:16" ht="21.75" customHeight="1" x14ac:dyDescent="0.45">
      <c r="A669" s="512"/>
      <c r="B669" s="513"/>
      <c r="C669" s="513"/>
      <c r="D669" s="513"/>
      <c r="E669" s="513"/>
      <c r="F669" s="513"/>
      <c r="G669" s="530"/>
      <c r="H669" s="516" t="s">
        <v>36</v>
      </c>
      <c r="I669" s="539"/>
      <c r="J669" s="536">
        <f ca="1">IFERROR(__xludf.DUMMYFUNCTION("IMPORTRANGE(""https://docs.google.com/spreadsheets/d/1SX6NBoVAgQJ6U1MVXOaj8PK2l7WJ3RER9xtqwdhxkhw/edit#gid=346597447"",""นครปฐม!J564"")"),4)</f>
        <v>4</v>
      </c>
      <c r="K669" s="537"/>
      <c r="L669" s="521"/>
      <c r="M669" s="521"/>
      <c r="N669" s="521"/>
      <c r="O669" s="519"/>
      <c r="P669" s="519"/>
    </row>
    <row r="670" spans="1:16" ht="21.75" customHeight="1" x14ac:dyDescent="0.45">
      <c r="A670" s="512"/>
      <c r="B670" s="513"/>
      <c r="C670" s="513"/>
      <c r="D670" s="513"/>
      <c r="E670" s="513"/>
      <c r="F670" s="513"/>
      <c r="G670" s="530"/>
      <c r="H670" s="516" t="s">
        <v>122</v>
      </c>
      <c r="I670" s="539"/>
      <c r="J670" s="536">
        <f ca="1">IFERROR(__xludf.DUMMYFUNCTION("IMPORTRANGE(""https://docs.google.com/spreadsheets/d/1SX6NBoVAgQJ6U1MVXOaj8PK2l7WJ3RER9xtqwdhxkhw/edit#gid=346597447"",""นครปฐม!J565"")"),23.74)</f>
        <v>23.74</v>
      </c>
      <c r="K670" s="537"/>
      <c r="L670" s="521"/>
      <c r="M670" s="521"/>
      <c r="N670" s="521"/>
      <c r="O670" s="519"/>
      <c r="P670" s="519"/>
    </row>
    <row r="671" spans="1:16" ht="21.75" customHeight="1" x14ac:dyDescent="0.45">
      <c r="A671" s="512"/>
      <c r="B671" s="513"/>
      <c r="C671" s="513"/>
      <c r="D671" s="513"/>
      <c r="E671" s="513"/>
      <c r="F671" s="587" t="s">
        <v>256</v>
      </c>
      <c r="G671" s="588"/>
      <c r="H671" s="516" t="s">
        <v>122</v>
      </c>
      <c r="I671" s="535">
        <f ca="1">IFERROR(__xludf.DUMMYFUNCTION("IMPORTRANGE(""https://docs.google.com/spreadsheets/d/1SX6NBoVAgQJ6U1MVXOaj8PK2l7WJ3RER9xtqwdhxkhw/edit#gid=346597447"",""นครปฐม!I566"")"),0)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IFERROR(__xludf.DUMMYFUNCTION("IMPORTRANGE(""https://docs.google.com/spreadsheets/d/1SX6NBoVAgQJ6U1MVXOaj8PK2l7WJ3RER9xtqwdhxkhw/edit#gid=346597447"",""นครปฐม!L566"")"),0)</f>
        <v>0</v>
      </c>
      <c r="M671" s="521"/>
      <c r="N671" s="538">
        <f ca="1">IFERROR(__xludf.DUMMYFUNCTION("IMPORTRANGE(""https://docs.google.com/spreadsheets/d/1SX6NBoVAgQJ6U1MVXOaj8PK2l7WJ3RER9xtqwdhxkhw/edit#gid=346597447"",""นครปฐม!M566"")"),0)</f>
        <v>0</v>
      </c>
      <c r="O671" s="537">
        <f ca="1">IF(L671&gt;0,N671*100/L671,0)</f>
        <v>0</v>
      </c>
      <c r="P671" s="537"/>
    </row>
    <row r="672" spans="1:16" ht="21.75" customHeight="1" x14ac:dyDescent="0.45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IFERROR(__xludf.DUMMYFUNCTION("IMPORTRANGE(""https://docs.google.com/spreadsheets/d/1SX6NBoVAgQJ6U1MVXOaj8PK2l7WJ3RER9xtqwdhxkhw/edit#gid=346597447"",""นครปฐม!J567"")"),0)</f>
        <v>0</v>
      </c>
      <c r="K672" s="537"/>
      <c r="L672" s="521"/>
      <c r="M672" s="521"/>
      <c r="N672" s="521"/>
      <c r="O672" s="519"/>
      <c r="P672" s="519"/>
    </row>
    <row r="673" spans="1:16" ht="21.75" customHeight="1" x14ac:dyDescent="0.45">
      <c r="A673" s="512"/>
      <c r="B673" s="513"/>
      <c r="C673" s="513"/>
      <c r="D673" s="513"/>
      <c r="E673" s="513"/>
      <c r="F673" s="513"/>
      <c r="G673" s="530"/>
      <c r="H673" s="516" t="s">
        <v>36</v>
      </c>
      <c r="I673" s="539"/>
      <c r="J673" s="532">
        <f ca="1">IFERROR(__xludf.DUMMYFUNCTION("IMPORTRANGE(""https://docs.google.com/spreadsheets/d/1SX6NBoVAgQJ6U1MVXOaj8PK2l7WJ3RER9xtqwdhxkhw/edit#gid=346597447"",""นครปฐม!J568"")"),0)</f>
        <v>0</v>
      </c>
      <c r="K673" s="537"/>
      <c r="L673" s="521"/>
      <c r="M673" s="521"/>
      <c r="N673" s="521"/>
      <c r="O673" s="519"/>
      <c r="P673" s="519"/>
    </row>
    <row r="674" spans="1:16" ht="21.75" customHeight="1" x14ac:dyDescent="0.45">
      <c r="A674" s="512"/>
      <c r="B674" s="513"/>
      <c r="C674" s="513"/>
      <c r="D674" s="513"/>
      <c r="E674" s="513"/>
      <c r="F674" s="513"/>
      <c r="G674" s="530"/>
      <c r="H674" s="516" t="s">
        <v>122</v>
      </c>
      <c r="I674" s="539"/>
      <c r="J674" s="532">
        <f ca="1">IFERROR(__xludf.DUMMYFUNCTION("IMPORTRANGE(""https://docs.google.com/spreadsheets/d/1SX6NBoVAgQJ6U1MVXOaj8PK2l7WJ3RER9xtqwdhxkhw/edit#gid=346597447"",""นครปฐม!J569"")"),0)</f>
        <v>0</v>
      </c>
      <c r="K674" s="537"/>
      <c r="L674" s="521"/>
      <c r="M674" s="521"/>
      <c r="N674" s="521"/>
      <c r="O674" s="519"/>
      <c r="P674" s="519"/>
    </row>
    <row r="675" spans="1:16" ht="21.75" customHeight="1" x14ac:dyDescent="0.45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IFERROR(__xludf.DUMMYFUNCTION("IMPORTRANGE(""https://docs.google.com/spreadsheets/d/1SX6NBoVAgQJ6U1MVXOaj8PK2l7WJ3RER9xtqwdhxkhw/edit#gid=346597447"",""นครปฐม!J570"")"),0)</f>
        <v>0</v>
      </c>
      <c r="K675" s="537"/>
      <c r="L675" s="521"/>
      <c r="M675" s="521"/>
      <c r="N675" s="521"/>
      <c r="O675" s="519"/>
      <c r="P675" s="519"/>
    </row>
    <row r="676" spans="1:16" ht="21.75" customHeight="1" x14ac:dyDescent="0.45">
      <c r="A676" s="512"/>
      <c r="B676" s="513"/>
      <c r="C676" s="513"/>
      <c r="D676" s="513"/>
      <c r="E676" s="513"/>
      <c r="F676" s="513"/>
      <c r="G676" s="530"/>
      <c r="H676" s="516" t="s">
        <v>36</v>
      </c>
      <c r="I676" s="539"/>
      <c r="J676" s="532">
        <f ca="1">IFERROR(__xludf.DUMMYFUNCTION("IMPORTRANGE(""https://docs.google.com/spreadsheets/d/1SX6NBoVAgQJ6U1MVXOaj8PK2l7WJ3RER9xtqwdhxkhw/edit#gid=346597447"",""นครปฐม!J571"")"),0)</f>
        <v>0</v>
      </c>
      <c r="K676" s="537"/>
      <c r="L676" s="521"/>
      <c r="M676" s="521"/>
      <c r="N676" s="521"/>
      <c r="O676" s="519"/>
      <c r="P676" s="519"/>
    </row>
    <row r="677" spans="1:16" ht="21.75" customHeight="1" x14ac:dyDescent="0.45">
      <c r="A677" s="541"/>
      <c r="B677" s="542" t="s">
        <v>259</v>
      </c>
      <c r="C677" s="543"/>
      <c r="D677" s="543"/>
      <c r="E677" s="543"/>
      <c r="F677" s="543"/>
      <c r="G677" s="544"/>
      <c r="H677" s="545" t="s">
        <v>122</v>
      </c>
      <c r="I677" s="546"/>
      <c r="J677" s="547">
        <f ca="1">IFERROR(__xludf.DUMMYFUNCTION("IMPORTRANGE(""https://docs.google.com/spreadsheets/d/1SX6NBoVAgQJ6U1MVXOaj8PK2l7WJ3RER9xtqwdhxkhw/edit#gid=346597447"",""นครปฐม!J572"")"),0)</f>
        <v>0</v>
      </c>
      <c r="K677" s="548"/>
      <c r="L677" s="549"/>
      <c r="M677" s="549"/>
      <c r="N677" s="549"/>
      <c r="O677" s="548"/>
      <c r="P677" s="548"/>
    </row>
    <row r="678" spans="1:16" ht="21.75" customHeight="1" x14ac:dyDescent="0.3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3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3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3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3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3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3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3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3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3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3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3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3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3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3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3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3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3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3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3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3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3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3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3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3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3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3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3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3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3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3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3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3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3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3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3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3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3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3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3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3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3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3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3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3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3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3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3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3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3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3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3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3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3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3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3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3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3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3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3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3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3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3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3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3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3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3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3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3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3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3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3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3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3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3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3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3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3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3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3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3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3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3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3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3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3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3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3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3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3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3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3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3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3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3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3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3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3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3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3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3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3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3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3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3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3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3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3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3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3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3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3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3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3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3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3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3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3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3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3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3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3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3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3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3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3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3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3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3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3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3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3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3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3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3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3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3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3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3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3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3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3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3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3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3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3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3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3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3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3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3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3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3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3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3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3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3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3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3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3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3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3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3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3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3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3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3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3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3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3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3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3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3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3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3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3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3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3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3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3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3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3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3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3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3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3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3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3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3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3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3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3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3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3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3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3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3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3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3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3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3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3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3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3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3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3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3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3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3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3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3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3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3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3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3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3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3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3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3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3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3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3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3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3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3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3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3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3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3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3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3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3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3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3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3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3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3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3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3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3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3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3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3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3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3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3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3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3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3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3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3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3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3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3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3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3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3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3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3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3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3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3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3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3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3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3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3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3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3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3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3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3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3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3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3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3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3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3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3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3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3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3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3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3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3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3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3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3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3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3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3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3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3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3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3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3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3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3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3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3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3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3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3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3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3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3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3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3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3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3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3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3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3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3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3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3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3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3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3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3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3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3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3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3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3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3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3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3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3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3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3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3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3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3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3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3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3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3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3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3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3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3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3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3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3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3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3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3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3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3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3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3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3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3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3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3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3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3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3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3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3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3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3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3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3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3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3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3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3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3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3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3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3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3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3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3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3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3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3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3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3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3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3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3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3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3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3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3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3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3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3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3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3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3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3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3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3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3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3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3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3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3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3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3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3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3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3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3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3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3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3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3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3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3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3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3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3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3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3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3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3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3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3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3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3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3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3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3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3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3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3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3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3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3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3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3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3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3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3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3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3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3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3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3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3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3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3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3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3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3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3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3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3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3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3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3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3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3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3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3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3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3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3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3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3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3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เพชรบุรี!Print_Titles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2022-06-05T15:50:39Z</cp:lastPrinted>
  <dcterms:modified xsi:type="dcterms:W3CDTF">2022-06-05T15:50:48Z</dcterms:modified>
</cp:coreProperties>
</file>